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1661DC22-BA7E-42AC-ADCD-A04C462E6E8E}"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6" i="18"/>
  <c r="B75" i="18"/>
  <c r="B74" i="18"/>
  <c r="B25" i="18"/>
  <c r="B45" i="18"/>
  <c r="B63" i="18"/>
  <c r="B38" i="18"/>
  <c r="B99" i="18"/>
  <c r="B354" i="11" s="1"/>
  <c r="C355" i="11" s="1"/>
  <c r="B78" i="18"/>
  <c r="B54" i="18"/>
  <c r="B34" i="18"/>
  <c r="B33" i="18"/>
  <c r="B31" i="18"/>
  <c r="B30" i="18"/>
  <c r="B48" i="18"/>
  <c r="B70" i="18"/>
  <c r="B43" i="18"/>
  <c r="B84" i="18"/>
  <c r="B96" i="18"/>
  <c r="B77" i="18"/>
  <c r="B52" i="18"/>
  <c r="B51" i="18"/>
  <c r="B50" i="18"/>
  <c r="B49" i="18"/>
  <c r="B71" i="18"/>
  <c r="B44" i="18"/>
  <c r="B68" i="18"/>
  <c r="B39" i="18"/>
  <c r="B95" i="18"/>
  <c r="B32" i="18"/>
  <c r="B72" i="18"/>
  <c r="B24" i="18"/>
  <c r="B69" i="18"/>
  <c r="B83" i="18"/>
  <c r="B94" i="18"/>
  <c r="B40" i="18"/>
  <c r="B81" i="18"/>
  <c r="B93" i="18"/>
  <c r="B23" i="18"/>
  <c r="B87" i="18"/>
  <c r="B57" i="18"/>
  <c r="B92" i="18"/>
  <c r="B42" i="18"/>
  <c r="B56" i="18"/>
  <c r="B90" i="18"/>
  <c r="B46" i="18"/>
  <c r="B22" i="18"/>
  <c r="B18" i="18"/>
  <c r="B346" i="9" s="1"/>
  <c r="C347" i="9" s="1"/>
  <c r="B62" i="18"/>
  <c r="B37" i="18"/>
  <c r="B89" i="18"/>
  <c r="B86" i="18"/>
  <c r="B58" i="18"/>
  <c r="B88" i="18"/>
  <c r="B82" i="18"/>
  <c r="B15" i="18"/>
  <c r="C15" i="18" s="1"/>
  <c r="B13" i="18"/>
  <c r="B13" i="9" s="1"/>
  <c r="C14" i="9" s="1"/>
  <c r="B10" i="18"/>
  <c r="B8" i="11" s="1"/>
  <c r="C9" i="11" s="1"/>
  <c r="B6" i="18"/>
  <c r="B14" i="18"/>
  <c r="C14" i="18" s="1"/>
  <c r="B7"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35" i="11" l="1"/>
  <c r="C336" i="11" s="1"/>
  <c r="B386" i="11"/>
  <c r="C387" i="11" s="1"/>
  <c r="B41" i="18"/>
  <c r="B67" i="18"/>
  <c r="B91" i="18"/>
  <c r="B53" i="18"/>
  <c r="B103" i="18"/>
  <c r="B85" i="18"/>
  <c r="B73" i="18"/>
  <c r="B102" i="18"/>
  <c r="B61" i="18"/>
  <c r="C62" i="18" s="1"/>
  <c r="B35" i="18"/>
  <c r="B21" i="18"/>
  <c r="C24" i="18" s="1"/>
  <c r="C22" i="18"/>
  <c r="B227" i="9"/>
  <c r="B47" i="18"/>
  <c r="B29"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B66" i="18"/>
  <c r="C25" i="18"/>
  <c r="B28" i="18"/>
  <c r="C29" i="18" s="1"/>
  <c r="C23" i="18"/>
  <c r="B229" i="9"/>
  <c r="B230" i="9" s="1"/>
  <c r="C85" i="18"/>
  <c r="E211" i="11"/>
  <c r="G211" i="11"/>
  <c r="C215" i="11"/>
  <c r="E230" i="9"/>
  <c r="F230" i="9"/>
  <c r="E228" i="9"/>
  <c r="C53" i="18" l="1"/>
  <c r="C88" i="18"/>
  <c r="C90" i="18"/>
  <c r="C93" i="18"/>
  <c r="C92" i="18"/>
  <c r="C95" i="18"/>
  <c r="C69" i="18"/>
  <c r="C80" i="18"/>
  <c r="C70" i="18"/>
  <c r="C74" i="18"/>
  <c r="C68" i="18"/>
  <c r="C75" i="18"/>
  <c r="C71" i="18"/>
  <c r="C86" i="18"/>
  <c r="C82" i="18"/>
  <c r="C87" i="18"/>
  <c r="C72" i="18"/>
  <c r="C81" i="18"/>
  <c r="C78" i="18"/>
  <c r="C76" i="18"/>
  <c r="C89" i="18"/>
  <c r="C96" i="18"/>
  <c r="C83" i="18"/>
  <c r="C77" i="18"/>
  <c r="C94" i="18"/>
  <c r="C84" i="18"/>
  <c r="C67" i="18"/>
  <c r="C35" i="18"/>
  <c r="C52" i="18"/>
  <c r="C46" i="18"/>
  <c r="C50" i="18"/>
  <c r="C38" i="18"/>
  <c r="C34" i="18"/>
  <c r="C54" i="18"/>
  <c r="C45" i="18"/>
  <c r="C32" i="18"/>
  <c r="C36" i="18"/>
  <c r="C57" i="18"/>
  <c r="C31" i="18"/>
  <c r="C43" i="18"/>
  <c r="C30" i="18"/>
  <c r="C51" i="18"/>
  <c r="C56" i="18"/>
  <c r="C40" i="18"/>
  <c r="C58" i="18"/>
  <c r="C39" i="18"/>
  <c r="C49" i="18"/>
  <c r="C33" i="18"/>
  <c r="C37" i="18"/>
  <c r="C48" i="18"/>
  <c r="C42" i="18"/>
  <c r="C55" i="18"/>
  <c r="C44" i="18"/>
  <c r="C79" i="18"/>
  <c r="C73" i="18"/>
  <c r="C91" i="18"/>
  <c r="C47" i="18"/>
  <c r="C41"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<sst xmlns="http://schemas.openxmlformats.org/spreadsheetml/2006/main" count="16366" uniqueCount="4609">
  <si>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</si>
  <si>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</si>
  <si>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</si>
  <si>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</si>
  <si>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</si>
  <si>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</si>
  <si>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</si>
  <si>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</si>
  <si>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</si>
  <si>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</si>
  <si>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</si>
  <si>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</si>
  <si>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</si>
  <si>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</si>
  <si>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</si>
  <si>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</si>
  <si>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</si>
  <si>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</si>
  <si>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</si>
  <si>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</si>
  <si>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</si>
  <si>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</si>
  <si>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</si>
  <si>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</si>
  <si>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</si>
  <si>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</si>
  <si>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</si>
  <si>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</si>
  <si>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</si>
  <si>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</si>
  <si>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</si>
  <si>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</si>
  <si>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</si>
  <si>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</si>
  <si>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</si>
  <si>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</si>
  <si>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</si>
  <si>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</si>
  <si>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</si>
  <si>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</si>
  <si>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</si>
  <si>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</si>
  <si>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</si>
  <si>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</si>
  <si>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</si>
  <si>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</si>
  <si>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</si>
  <si>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</si>
  <si>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</si>
  <si>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</si>
  <si>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</si>
  <si>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</si>
  <si>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</si>
  <si>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</si>
  <si>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</si>
  <si>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</si>
  <si>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</si>
  <si>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</si>
  <si>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</si>
  <si>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</si>
  <si>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</si>
  <si>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</si>
  <si>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</si>
  <si>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</si>
  <si>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</si>
  <si>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</si>
  <si>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</si>
  <si>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</si>
  <si>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</si>
  <si>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</si>
  <si>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</si>
  <si>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</si>
  <si>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</si>
  <si>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</si>
  <si>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</si>
  <si>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</si>
  <si>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</si>
  <si>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</si>
  <si>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</si>
  <si>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</si>
  <si>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</si>
  <si>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</si>
  <si>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</si>
  <si>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</si>
  <si>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</si>
  <si>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</si>
  <si>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</si>
  <si>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</si>
  <si>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</si>
  <si>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</si>
  <si>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</si>
  <si>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</si>
  <si>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</si>
  <si>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</si>
  <si>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</si>
  <si>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</si>
  <si>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</si>
  <si>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</si>
  <si>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</si>
  <si>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</si>
  <si>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</si>
  <si>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</si>
  <si>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</si>
  <si>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</si>
  <si>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</si>
  <si>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</si>
  <si>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</si>
  <si>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</si>
  <si>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</si>
  <si>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</si>
  <si>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</si>
  <si>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</si>
  <si>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</si>
  <si>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</si>
  <si>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</si>
  <si>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</si>
  <si>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</si>
  <si>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</si>
  <si>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</si>
  <si>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</si>
  <si>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</si>
  <si>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</si>
  <si>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</si>
  <si>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</si>
  <si>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</si>
  <si>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</si>
  <si>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</si>
  <si>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</si>
  <si>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</si>
  <si>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</si>
  <si>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</si>
  <si>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</si>
  <si>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</si>
  <si>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</si>
  <si>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</si>
  <si>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</si>
  <si>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</si>
  <si>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</si>
  <si>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</si>
  <si>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</si>
  <si>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</si>
  <si>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</si>
  <si>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</si>
  <si>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</si>
  <si>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</si>
  <si>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</si>
  <si>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</si>
  <si>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</si>
  <si>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</si>
  <si>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</si>
  <si>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</si>
  <si>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</si>
  <si>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</si>
  <si>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</si>
  <si>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</si>
  <si>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</si>
  <si>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</si>
  <si>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</si>
  <si>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</si>
  <si>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</si>
  <si>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</si>
  <si>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</si>
  <si>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</si>
  <si>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</si>
  <si>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</si>
  <si>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</si>
  <si>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</si>
  <si>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</si>
  <si>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</si>
  <si>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</si>
  <si>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</si>
  <si>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</si>
  <si>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</si>
  <si>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</si>
  <si>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</si>
  <si>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</si>
  <si>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</si>
  <si>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</si>
  <si>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</si>
  <si>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</si>
  <si>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</si>
  <si>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</si>
  <si>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</si>
  <si>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</si>
  <si>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</si>
  <si>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</si>
  <si>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</si>
  <si>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</si>
  <si>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</si>
  <si>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</si>
  <si>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</si>
  <si>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</si>
  <si>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</si>
  <si>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</si>
  <si>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</si>
  <si>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</si>
  <si>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</si>
  <si>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</si>
  <si>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</si>
  <si>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</si>
  <si>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</si>
  <si>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</si>
  <si>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</si>
  <si>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</si>
  <si>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</si>
  <si>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</si>
  <si>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</si>
  <si>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</si>
  <si>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</si>
  <si>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</si>
  <si>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</si>
  <si>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</si>
  <si>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</si>
  <si>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</si>
  <si>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</si>
  <si>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</si>
  <si>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</si>
  <si>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</si>
  <si>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</si>
  <si>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</si>
  <si>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</si>
  <si>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</si>
  <si>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</si>
  <si>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</si>
  <si>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</si>
  <si>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</si>
  <si>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</si>
  <si>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</si>
  <si>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</si>
  <si>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</si>
  <si>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</si>
  <si>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</si>
  <si>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</si>
  <si>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</si>
  <si>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</si>
  <si>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</si>
  <si>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</si>
  <si>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</si>
  <si>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</si>
  <si>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</si>
  <si>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</si>
  <si>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</si>
  <si>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</si>
  <si>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</si>
  <si>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</si>
  <si>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</si>
  <si>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</si>
  <si>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</si>
  <si>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</si>
  <si>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</si>
  <si>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</si>
  <si>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</si>
  <si>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</si>
  <si>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</si>
  <si>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</si>
  <si>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</si>
  <si>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</si>
  <si>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</si>
  <si>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</si>
  <si>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</si>
  <si>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</si>
  <si>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</si>
  <si>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</si>
  <si>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</si>
  <si>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</si>
  <si>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</si>
  <si>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</si>
  <si>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</si>
  <si>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</si>
  <si>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</si>
  <si>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</si>
  <si>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</si>
  <si>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</si>
  <si>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</si>
  <si>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</si>
  <si>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</si>
  <si>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</si>
  <si>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</si>
  <si>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</si>
  <si>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</si>
  <si>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</si>
  <si>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</si>
  <si>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</si>
  <si>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</si>
  <si>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</si>
  <si>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</si>
  <si>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</si>
  <si>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</si>
  <si>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</si>
  <si>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</si>
  <si>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</si>
  <si>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</si>
  <si>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</si>
  <si>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</si>
  <si>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</si>
  <si>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</si>
  <si>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</si>
  <si>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</si>
  <si>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</si>
  <si>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</si>
  <si>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</si>
  <si>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</si>
  <si>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</si>
  <si>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</si>
  <si>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</si>
  <si>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</si>
  <si>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</si>
  <si>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</si>
  <si>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</si>
  <si>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</si>
  <si>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</si>
  <si>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</si>
  <si>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</si>
  <si>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</si>
  <si>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</si>
  <si>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</si>
  <si>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</si>
  <si>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</si>
  <si>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</si>
  <si>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</si>
  <si>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</si>
  <si>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</si>
  <si>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</si>
  <si>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</si>
  <si>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</si>
  <si>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</si>
  <si>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</si>
  <si>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</si>
  <si>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</si>
  <si>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</si>
  <si>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</si>
  <si>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</si>
  <si>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</si>
  <si>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</si>
  <si>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</si>
  <si>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</si>
  <si>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</si>
  <si>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</si>
  <si>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</si>
  <si>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</si>
  <si>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</si>
  <si>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</si>
  <si>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</si>
  <si>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</si>
  <si>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</si>
  <si>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</si>
  <si>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</si>
  <si>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</si>
  <si>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</si>
  <si>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</si>
  <si>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</si>
  <si>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</si>
  <si>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</si>
  <si>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</si>
  <si>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</si>
  <si>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</si>
  <si>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</si>
  <si>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</si>
  <si>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</si>
  <si>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</si>
  <si>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</si>
  <si>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</si>
  <si>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</si>
  <si>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</si>
  <si>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</si>
  <si>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</si>
  <si>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</si>
  <si>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</si>
  <si>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</si>
  <si>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</si>
  <si>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</si>
  <si>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</si>
  <si>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</si>
  <si>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</si>
  <si>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</si>
  <si>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</si>
  <si>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</si>
  <si>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</si>
  <si>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</si>
  <si>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</si>
  <si>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</si>
  <si>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</si>
  <si>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</si>
  <si>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</si>
  <si>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</si>
  <si>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</si>
  <si>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</si>
  <si>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</si>
  <si>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</si>
  <si>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</si>
  <si>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</si>
  <si>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</si>
  <si>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</si>
  <si>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</si>
  <si>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</si>
  <si>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</si>
  <si>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</si>
  <si>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</si>
  <si>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</si>
  <si>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</si>
  <si>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</si>
  <si>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</si>
  <si>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</si>
  <si>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</si>
  <si>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</si>
  <si>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</si>
  <si>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</si>
  <si>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</si>
  <si>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</si>
  <si>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</si>
  <si>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</si>
  <si>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</si>
  <si>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</si>
  <si>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</si>
  <si>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</si>
  <si>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</si>
  <si>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</si>
  <si>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</si>
  <si>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</si>
  <si>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</si>
  <si>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</si>
  <si>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</si>
  <si>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</si>
  <si>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</si>
  <si>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</si>
  <si>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</si>
  <si>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</si>
  <si>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</si>
  <si>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</si>
  <si>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</si>
  <si>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</si>
  <si>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</si>
  <si>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</si>
  <si>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</si>
  <si>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</si>
  <si>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</si>
  <si>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</si>
  <si>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</si>
  <si>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</si>
  <si>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</si>
  <si>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</si>
  <si>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</si>
  <si>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</si>
  <si>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</si>
  <si>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</si>
  <si>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</si>
  <si>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</si>
  <si>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</si>
  <si>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</si>
  <si>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</si>
  <si>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</si>
  <si>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</si>
  <si>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</si>
  <si>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</si>
  <si>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</si>
  <si>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</si>
  <si>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</si>
  <si>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</si>
  <si>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</si>
  <si>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</si>
  <si>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</si>
  <si>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</si>
  <si>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</si>
  <si>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</si>
  <si>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</si>
  <si>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</si>
  <si>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</si>
  <si>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</si>
  <si>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</si>
  <si>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</si>
  <si>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</si>
  <si>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</si>
  <si>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</si>
  <si>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</si>
  <si>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</si>
  <si>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</si>
  <si>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</si>
  <si>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</si>
  <si>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</si>
  <si>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</si>
  <si>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</si>
  <si>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</si>
  <si>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</si>
  <si>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</si>
  <si>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</si>
  <si>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</si>
  <si>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</si>
  <si>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</si>
  <si>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</si>
  <si>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</si>
  <si>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</si>
  <si>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</si>
  <si>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</si>
  <si>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</si>
  <si>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</si>
  <si>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</si>
  <si>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</si>
  <si>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</si>
  <si>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</si>
  <si>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</si>
  <si>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</si>
  <si>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</si>
  <si>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</si>
  <si>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</si>
  <si>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</si>
  <si>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</si>
  <si>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</si>
  <si>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</si>
  <si>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</si>
  <si>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</si>
  <si>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</si>
  <si>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</si>
  <si>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</si>
  <si>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</si>
  <si>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</si>
  <si>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</si>
  <si>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</si>
  <si>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</si>
  <si>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</si>
  <si>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</si>
  <si>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</si>
  <si>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</si>
  <si>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</si>
  <si>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</si>
  <si>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</si>
  <si>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</si>
  <si>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</si>
  <si>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</si>
  <si>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</si>
  <si>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</si>
  <si>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</si>
  <si>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</si>
  <si>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</si>
  <si>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</si>
  <si>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</si>
  <si>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</si>
  <si>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</si>
  <si>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</si>
  <si>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</si>
  <si>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</si>
  <si>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</si>
  <si>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</si>
  <si>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</si>
  <si>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</si>
  <si>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</si>
  <si>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</si>
  <si>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</si>
  <si>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</si>
  <si>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</si>
  <si>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</si>
  <si>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</si>
  <si>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</si>
  <si>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</si>
  <si>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</si>
  <si>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</si>
  <si>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</si>
  <si>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</si>
  <si>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</si>
  <si>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</si>
  <si>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</si>
  <si>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</si>
  <si>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</si>
  <si>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</si>
  <si>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</si>
  <si>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</si>
  <si>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</si>
  <si>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</si>
  <si>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</si>
  <si>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</si>
  <si>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</si>
  <si>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</si>
  <si>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</si>
  <si>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</si>
  <si>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</si>
  <si>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</si>
  <si>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</si>
  <si>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</si>
  <si>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</si>
  <si>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</si>
  <si>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</si>
  <si>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</si>
  <si>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</si>
  <si>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</si>
  <si>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</si>
  <si>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</si>
  <si>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</si>
  <si>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</si>
  <si>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</si>
  <si>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</si>
  <si>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</si>
  <si>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</si>
  <si>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</si>
  <si>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</si>
  <si>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</si>
  <si>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</si>
  <si>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</si>
  <si>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</si>
  <si>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</si>
  <si>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</si>
  <si>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</si>
  <si>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</si>
  <si>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</si>
  <si>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</si>
  <si>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</si>
  <si>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</si>
  <si>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</si>
  <si>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</si>
  <si>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</si>
  <si>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</si>
  <si>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</si>
  <si>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</si>
  <si>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</si>
  <si>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</si>
  <si>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</si>
  <si>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</si>
  <si>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</si>
  <si>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</si>
  <si>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</si>
  <si>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</si>
  <si>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</si>
  <si>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</si>
  <si>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</si>
  <si>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</si>
  <si>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</si>
  <si>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</si>
  <si>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</si>
  <si>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</si>
  <si>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</si>
  <si>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</si>
  <si>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</si>
  <si>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</si>
  <si>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</si>
  <si>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</si>
  <si>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</si>
  <si>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</si>
  <si>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</si>
  <si>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</si>
  <si>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</si>
  <si>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</si>
  <si>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</si>
  <si>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</si>
  <si>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</si>
  <si>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</si>
  <si>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</si>
  <si>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</si>
  <si>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</si>
  <si>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</si>
  <si>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</si>
  <si>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</si>
  <si>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</si>
  <si>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</si>
  <si>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</si>
  <si>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</si>
  <si>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</si>
  <si>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</si>
  <si>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</si>
  <si>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</si>
  <si>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</si>
  <si>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</si>
  <si>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</si>
  <si>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</si>
  <si>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</si>
  <si>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</si>
  <si>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</si>
  <si>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</si>
  <si>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</si>
  <si>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</si>
  <si>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</si>
  <si>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</si>
  <si>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</si>
  <si>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</si>
  <si>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</si>
  <si>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</si>
  <si>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</si>
  <si>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</si>
  <si>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</si>
  <si>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</si>
  <si>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</si>
  <si>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</si>
  <si>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</si>
  <si>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</si>
  <si>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</si>
  <si>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</si>
  <si>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</si>
  <si>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</si>
  <si>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</si>
  <si>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</si>
  <si>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</si>
  <si>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</si>
  <si>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</si>
  <si>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</si>
  <si>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</si>
  <si>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</si>
  <si>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</si>
  <si>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</si>
  <si>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</si>
  <si>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</si>
  <si>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</si>
  <si>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</si>
  <si>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</si>
  <si>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</si>
  <si>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</si>
  <si>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</si>
  <si>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</si>
  <si>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</si>
  <si>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</si>
  <si>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</si>
  <si>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</si>
  <si>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</si>
  <si>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</si>
  <si>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</si>
  <si>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</si>
  <si>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</si>
  <si>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</si>
  <si>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</si>
  <si>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</si>
  <si>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</si>
  <si>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</si>
  <si>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</si>
  <si>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</si>
  <si>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</si>
  <si>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</si>
  <si>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</si>
  <si>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</si>
  <si>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</si>
  <si>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</si>
  <si>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</si>
  <si>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</si>
  <si>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</si>
  <si>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</si>
  <si>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</si>
  <si>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</si>
  <si>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</si>
  <si>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</si>
  <si>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</si>
  <si>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</si>
  <si>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</si>
  <si>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</si>
  <si>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</si>
  <si>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</si>
  <si>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</si>
  <si>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</si>
  <si>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</si>
  <si>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</si>
  <si>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</si>
  <si>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</si>
  <si>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</si>
  <si>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</si>
  <si>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</si>
  <si>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</si>
  <si>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</si>
  <si>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</si>
  <si>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</si>
  <si>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</si>
  <si>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</si>
  <si>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</si>
  <si>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</si>
  <si>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</si>
  <si>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</si>
  <si>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</si>
  <si>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</si>
  <si>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</si>
  <si>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</si>
  <si>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</si>
  <si>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</si>
  <si>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</si>
  <si>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</si>
  <si>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</si>
  <si>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</si>
  <si>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</si>
  <si>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</si>
  <si>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</si>
  <si>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</si>
  <si>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</si>
  <si>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</si>
  <si>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</si>
  <si>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</si>
  <si>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</si>
  <si>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</si>
  <si>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</si>
  <si>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</si>
  <si>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</si>
  <si>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</si>
  <si>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</si>
  <si>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</si>
  <si>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</si>
  <si>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</si>
  <si>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</si>
  <si>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</si>
  <si>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</si>
  <si>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</si>
  <si>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</si>
  <si>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</si>
  <si>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</si>
  <si>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</si>
  <si>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</si>
  <si>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</si>
  <si>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</si>
  <si>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</si>
  <si>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</si>
  <si>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</si>
  <si>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</si>
  <si>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</si>
  <si>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</si>
  <si>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</si>
  <si>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</si>
  <si>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</si>
  <si>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</si>
  <si>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</si>
  <si>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</si>
  <si>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</si>
  <si>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</si>
  <si>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</si>
  <si>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</si>
  <si>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</si>
  <si>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</si>
  <si>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</si>
  <si>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</si>
  <si>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</si>
  <si>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</si>
  <si>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</si>
  <si>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</si>
  <si>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</si>
  <si>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</si>
  <si>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</si>
  <si>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</si>
  <si>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</si>
  <si>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</si>
  <si>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</si>
  <si>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</si>
  <si>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</si>
  <si>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</si>
  <si>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</si>
  <si>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</si>
  <si>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</si>
  <si>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</si>
  <si>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</si>
  <si>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</si>
  <si>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</si>
  <si>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</si>
  <si>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</si>
  <si>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</si>
  <si>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</si>
  <si>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</si>
  <si>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</si>
  <si>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</si>
  <si>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</si>
  <si>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</si>
  <si>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</si>
  <si>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</si>
  <si>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</si>
  <si>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</si>
  <si>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</si>
  <si>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</si>
  <si>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</si>
  <si>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</si>
  <si>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</si>
  <si>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</si>
  <si>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</si>
  <si>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</si>
  <si>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</si>
  <si>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</si>
  <si>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</si>
  <si>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</si>
  <si>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</si>
  <si>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</si>
  <si>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</si>
  <si>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</si>
  <si>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</si>
  <si>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</si>
  <si>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</si>
  <si>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</si>
  <si>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</si>
  <si>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</si>
  <si>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</si>
  <si>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</si>
  <si>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</si>
  <si>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</si>
  <si>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</si>
  <si>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</si>
  <si>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</si>
  <si>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</si>
  <si>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</si>
  <si>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</si>
  <si>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</si>
  <si>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</si>
  <si>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</si>
  <si>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</si>
  <si>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</si>
  <si>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</si>
  <si>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</si>
  <si>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</si>
  <si>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</si>
  <si>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</si>
  <si>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</si>
  <si>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</si>
  <si>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</si>
  <si>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</si>
  <si>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</si>
  <si>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</si>
  <si>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</si>
  <si>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</si>
  <si>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</si>
  <si>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</si>
  <si>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</si>
  <si>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</si>
  <si>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</si>
  <si>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</si>
  <si>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</si>
  <si>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</si>
  <si>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</si>
  <si>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</si>
  <si>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</si>
  <si>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</si>
  <si>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</si>
  <si>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</si>
  <si>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</si>
  <si>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</si>
  <si>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</si>
  <si>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</si>
  <si>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</si>
  <si>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</si>
  <si>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</si>
  <si>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</si>
  <si>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</si>
  <si>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</si>
  <si>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</si>
  <si>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</si>
  <si>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</si>
  <si>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</si>
  <si>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</si>
  <si>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</si>
  <si>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</si>
  <si>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</si>
  <si>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</si>
  <si>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</si>
  <si>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</si>
  <si>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</si>
  <si>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</si>
  <si>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</si>
  <si>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</si>
  <si>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</si>
  <si>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</si>
  <si>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</si>
  <si>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</si>
  <si>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</si>
  <si>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</si>
  <si>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</si>
  <si>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</si>
  <si>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</si>
  <si>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</si>
  <si>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</si>
  <si>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</si>
  <si>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</si>
  <si>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</si>
  <si>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</si>
  <si>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</si>
  <si>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</si>
  <si>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</si>
  <si>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</si>
  <si>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</si>
  <si>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</si>
  <si>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</si>
  <si>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</si>
  <si>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</si>
  <si>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</si>
  <si>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</si>
  <si>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</si>
  <si>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</si>
  <si>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</si>
  <si>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</si>
  <si>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</si>
  <si>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</si>
  <si>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</si>
  <si>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</si>
  <si>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</si>
  <si>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</si>
  <si>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</si>
  <si>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</si>
  <si>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</si>
  <si>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</si>
  <si>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</si>
  <si>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</si>
  <si>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</si>
  <si>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</si>
  <si>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</si>
  <si>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</si>
  <si>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</si>
  <si>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</si>
  <si>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</si>
  <si>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</si>
  <si>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</si>
  <si>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</si>
  <si>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</si>
  <si>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</si>
  <si>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</si>
  <si>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</si>
  <si>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</si>
  <si>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</si>
  <si>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</si>
  <si>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</si>
  <si>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</si>
  <si>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</si>
  <si>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</si>
  <si>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</si>
  <si>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</si>
  <si>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</si>
  <si>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</si>
  <si>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</si>
  <si>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</si>
  <si>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</si>
  <si>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</si>
  <si>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</si>
  <si>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</si>
  <si>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</si>
  <si>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</si>
  <si>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</si>
  <si>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</si>
  <si>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</si>
  <si>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</si>
  <si>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</si>
  <si>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</si>
  <si>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</si>
  <si>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</si>
  <si>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</si>
  <si>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</si>
  <si>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</si>
  <si>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</si>
  <si>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</si>
  <si>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</si>
  <si>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</si>
  <si>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</si>
  <si>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</si>
  <si>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</si>
  <si>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</si>
  <si>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</si>
  <si>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</si>
  <si>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</si>
  <si>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</si>
  <si>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</si>
  <si>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</si>
  <si>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</si>
  <si>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</si>
  <si>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</si>
  <si>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</si>
  <si>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</si>
  <si>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</si>
  <si>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</si>
  <si>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</si>
  <si>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</si>
  <si>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</si>
  <si>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</si>
  <si>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</si>
  <si>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</si>
  <si>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</si>
  <si>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</si>
  <si>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</si>
  <si>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</si>
  <si>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</si>
  <si>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</si>
  <si>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</si>
  <si>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</si>
  <si>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</si>
  <si>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</si>
  <si>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</si>
  <si>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</si>
  <si>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</si>
  <si>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</si>
  <si>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</si>
  <si>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</si>
  <si>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</si>
  <si>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</si>
  <si>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</si>
  <si>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</si>
  <si>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</si>
  <si>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</si>
  <si>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</si>
  <si>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</si>
  <si>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</si>
  <si>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</si>
  <si>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</si>
  <si>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</si>
  <si>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</si>
  <si>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</si>
  <si>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</si>
  <si>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</si>
  <si>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</si>
  <si>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</si>
  <si>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</si>
  <si>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</si>
  <si>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</si>
  <si>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</si>
  <si>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</si>
  <si>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</si>
  <si>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</si>
  <si>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</si>
  <si>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</si>
  <si>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</si>
  <si>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</si>
  <si>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</si>
  <si>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</si>
  <si>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</si>
  <si>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</si>
  <si>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</si>
  <si>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</si>
  <si>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</si>
  <si>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</si>
  <si>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</si>
  <si>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</si>
  <si>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</si>
  <si>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</si>
  <si>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</si>
  <si>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</si>
  <si>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</si>
  <si>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</si>
  <si>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</si>
  <si>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</si>
  <si>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</si>
  <si>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</si>
  <si>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</si>
  <si>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</si>
  <si>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</si>
  <si>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</si>
  <si>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</si>
  <si>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</si>
  <si>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</si>
  <si>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</si>
  <si>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</si>
  <si>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</si>
  <si>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</si>
  <si>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</si>
  <si>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</si>
  <si>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</si>
  <si>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</si>
  <si>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</si>
  <si>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</si>
  <si>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</si>
  <si>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</si>
  <si>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</si>
  <si>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</si>
  <si>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</si>
  <si>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</si>
  <si>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</si>
  <si>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</si>
  <si>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</si>
  <si>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</si>
  <si>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</si>
  <si>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</si>
  <si>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</si>
  <si>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</si>
  <si>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</si>
  <si>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</si>
  <si>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</si>
  <si>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</si>
  <si>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</si>
  <si>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</si>
  <si>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</si>
  <si>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</si>
  <si>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</si>
  <si>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</si>
  <si>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</si>
  <si>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</si>
  <si>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</si>
  <si>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</si>
  <si>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</si>
  <si>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</si>
  <si>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</si>
  <si>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</si>
  <si>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</si>
  <si>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</si>
  <si>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</si>
  <si>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</si>
  <si>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</si>
  <si>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</si>
  <si>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</si>
  <si>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</si>
  <si>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</si>
  <si>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</si>
  <si>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</si>
  <si>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</si>
  <si>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</si>
  <si>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</si>
  <si>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</si>
  <si>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</si>
  <si>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</si>
  <si>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</si>
  <si>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</si>
  <si>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</si>
  <si>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</si>
  <si>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</si>
  <si>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</si>
  <si>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</si>
  <si>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</si>
  <si>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</si>
  <si>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</si>
  <si>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</si>
  <si>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</si>
  <si>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</si>
  <si>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</si>
  <si>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</si>
  <si>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</si>
  <si>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</si>
  <si>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</si>
  <si>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</si>
  <si>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</si>
  <si>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</si>
  <si>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</si>
  <si>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</si>
  <si>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</si>
  <si>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</si>
  <si>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</si>
  <si>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</si>
  <si>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</si>
  <si>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</si>
  <si>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</si>
  <si>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</si>
  <si>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</si>
  <si>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</si>
  <si>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</si>
  <si>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</si>
  <si>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</si>
  <si>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</si>
  <si>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</si>
  <si>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</si>
  <si>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</si>
  <si>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</si>
  <si>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</si>
  <si>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</si>
  <si>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</si>
  <si>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</si>
  <si>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</si>
  <si>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</si>
  <si>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</si>
  <si>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</si>
  <si>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</si>
  <si>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</si>
  <si>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</si>
  <si>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</si>
  <si>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</si>
  <si>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</si>
  <si>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</si>
  <si>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</si>
  <si>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</si>
  <si>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</si>
  <si>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</si>
  <si>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</si>
  <si>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</si>
  <si>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</si>
  <si>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</si>
  <si>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</si>
  <si>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</si>
  <si>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</si>
  <si>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</si>
  <si>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</si>
  <si>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</si>
  <si>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</si>
  <si>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</si>
  <si>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</si>
  <si>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</si>
  <si>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</si>
  <si>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</si>
  <si>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</si>
  <si>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</si>
  <si>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</si>
  <si>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</si>
  <si>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</si>
  <si>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</si>
  <si>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</si>
  <si>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</si>
  <si>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</si>
  <si>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</si>
  <si>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</si>
  <si>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</si>
  <si>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</si>
  <si>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</si>
  <si>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</si>
  <si>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</si>
  <si>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</si>
  <si>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</si>
  <si>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</si>
  <si>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</si>
  <si>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</si>
  <si>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</si>
  <si>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</si>
  <si>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</si>
  <si>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</si>
  <si>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</si>
  <si>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</si>
  <si>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</si>
  <si>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</si>
  <si>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</si>
  <si>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</si>
  <si>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</si>
  <si>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</si>
  <si>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</si>
  <si>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</si>
  <si>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</si>
  <si>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</si>
  <si>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</si>
  <si>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</si>
  <si>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</si>
  <si>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</si>
  <si>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</si>
  <si>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</si>
  <si>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</si>
  <si>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</si>
  <si>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</si>
  <si>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</si>
  <si>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</si>
  <si>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</si>
  <si>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</si>
  <si>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</si>
  <si>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</si>
  <si>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</si>
  <si>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</si>
  <si>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</si>
  <si>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</si>
  <si>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</si>
  <si>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</si>
  <si>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</si>
  <si>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</si>
  <si>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</si>
  <si>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</si>
  <si>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</si>
  <si>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</si>
  <si>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</si>
  <si>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</si>
  <si>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</si>
  <si>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</si>
  <si>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</si>
  <si>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</si>
  <si>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</si>
  <si>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</si>
  <si>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</si>
  <si>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</si>
  <si>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</si>
  <si>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</si>
  <si>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</si>
  <si>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</si>
  <si>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</si>
  <si>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</si>
  <si>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</si>
  <si>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</si>
  <si>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</si>
  <si>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</si>
  <si>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</si>
  <si>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</si>
  <si>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</si>
  <si>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</si>
  <si>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</si>
  <si>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</si>
  <si>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</si>
  <si>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</si>
  <si>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</si>
  <si>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</si>
  <si>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</si>
  <si>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</si>
  <si>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</si>
  <si>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</si>
  <si>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</si>
  <si>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</si>
  <si>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</si>
  <si>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</si>
  <si>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</si>
  <si>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</si>
  <si>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</si>
  <si>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</si>
  <si>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</si>
  <si>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</si>
  <si>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</si>
  <si>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</si>
  <si>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</si>
  <si>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</si>
  <si>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</si>
  <si>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</si>
  <si>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</si>
  <si>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</si>
  <si>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</si>
  <si>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</si>
  <si>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</si>
  <si>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</si>
  <si>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</si>
  <si>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</si>
  <si>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</si>
  <si>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</si>
  <si>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</si>
  <si>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</si>
  <si>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</si>
  <si>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</si>
  <si>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</si>
  <si>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</si>
  <si>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</si>
  <si>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</si>
  <si>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</si>
  <si>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</si>
  <si>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</si>
  <si>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</si>
  <si>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</si>
  <si>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</si>
  <si>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</si>
  <si>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</si>
  <si>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</si>
  <si>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</si>
  <si>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</si>
  <si>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</si>
  <si>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</si>
  <si>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</si>
  <si>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</si>
  <si>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</si>
  <si>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</si>
  <si>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</si>
  <si>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</si>
  <si>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</si>
  <si>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</si>
  <si>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</si>
  <si>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</si>
  <si>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</si>
  <si>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</si>
  <si>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</si>
  <si>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</si>
  <si>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</si>
  <si>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</si>
  <si>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</si>
  <si>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</si>
  <si>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</si>
  <si>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</si>
  <si>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</si>
  <si>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</si>
  <si>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</si>
  <si>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</si>
  <si>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</si>
  <si>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</si>
  <si>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</si>
  <si>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</si>
  <si>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</si>
  <si>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</si>
  <si>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</si>
  <si>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</si>
  <si>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</si>
  <si>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</si>
  <si>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</si>
  <si>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</si>
  <si>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</si>
  <si>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</si>
  <si>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</si>
  <si>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</si>
  <si>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</si>
  <si>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</si>
  <si>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</si>
  <si>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</si>
  <si>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</si>
  <si>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</si>
  <si>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</si>
  <si>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</si>
  <si>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</si>
  <si>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</si>
  <si>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</si>
  <si>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</si>
  <si>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</si>
  <si>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</si>
  <si>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</si>
  <si>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</si>
  <si>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</si>
  <si>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</si>
  <si>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</si>
  <si>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</si>
  <si>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</si>
  <si>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</si>
  <si>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</si>
  <si>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</si>
  <si>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</si>
  <si>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</si>
  <si>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</si>
  <si>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</si>
  <si>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</si>
  <si>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</si>
  <si>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</si>
  <si>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</si>
  <si>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</si>
  <si>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</si>
  <si>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</si>
  <si>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</si>
  <si>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</si>
  <si>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</si>
  <si>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</si>
  <si>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</si>
  <si>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</si>
  <si>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</si>
  <si>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</si>
  <si>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</si>
  <si>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</si>
  <si>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</si>
  <si>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</si>
  <si>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</si>
  <si>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</si>
  <si>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</si>
  <si>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</si>
  <si>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</si>
  <si>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</si>
  <si>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</si>
  <si>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</si>
  <si>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</si>
  <si>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</si>
  <si>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</si>
  <si>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</si>
  <si>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</si>
  <si>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</si>
  <si>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</si>
  <si>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</si>
  <si>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</si>
  <si>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</si>
  <si>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</si>
  <si>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</si>
  <si>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</si>
  <si>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</si>
  <si>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</si>
  <si>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</si>
  <si>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</si>
  <si>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</si>
  <si>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</si>
  <si>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</si>
  <si>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</si>
  <si>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</si>
  <si>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</si>
  <si>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</si>
  <si>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</si>
  <si>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</si>
  <si>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</si>
  <si>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</si>
  <si>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</si>
  <si>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</si>
  <si>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</si>
  <si>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</si>
  <si>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</si>
  <si>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</si>
  <si>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</si>
  <si>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</si>
  <si>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</si>
  <si>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</si>
  <si>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</si>
  <si>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</si>
  <si>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</si>
  <si>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</si>
  <si>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</si>
  <si>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</si>
  <si>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</si>
  <si>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</si>
  <si>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</si>
  <si>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</si>
  <si>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</si>
  <si>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</si>
  <si>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</si>
  <si>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</si>
  <si>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</si>
  <si>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</si>
  <si>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</si>
  <si>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</si>
  <si>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</si>
  <si>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</si>
  <si>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</si>
  <si>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</si>
  <si>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</si>
  <si>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</si>
  <si>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</si>
  <si>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</si>
  <si>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</si>
  <si>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</si>
  <si>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</si>
  <si>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</si>
  <si>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</si>
  <si>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</si>
  <si>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</si>
  <si>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</si>
  <si>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</si>
  <si>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</si>
  <si>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</si>
  <si>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</si>
  <si>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</si>
  <si>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</si>
  <si>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</si>
  <si>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</si>
  <si>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</si>
  <si>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</si>
  <si>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</si>
  <si>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</si>
  <si>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</si>
  <si>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</si>
  <si>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</si>
  <si>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</si>
  <si>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</si>
  <si>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</si>
  <si>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</si>
  <si>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</si>
  <si>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</si>
  <si>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</si>
  <si>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</si>
  <si>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</si>
  <si>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</si>
  <si>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</si>
  <si>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</si>
  <si>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</si>
  <si>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</si>
  <si>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</si>
  <si>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</si>
  <si>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</si>
  <si>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</si>
  <si>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</si>
  <si>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</si>
  <si>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</si>
  <si>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</si>
  <si>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</si>
  <si>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</si>
  <si>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</si>
  <si>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</si>
  <si>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</si>
  <si>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</si>
  <si>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</si>
  <si>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</si>
  <si>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</si>
  <si>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</si>
  <si>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</si>
  <si>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</si>
  <si>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</si>
  <si>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</si>
  <si>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</si>
  <si>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</si>
  <si>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</si>
  <si>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</si>
  <si>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</si>
  <si>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</si>
  <si>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</si>
  <si>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</si>
  <si>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</si>
  <si>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</si>
  <si>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</si>
  <si>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</si>
  <si>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</si>
  <si>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</si>
  <si>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</si>
  <si>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</si>
  <si>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</si>
  <si>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</si>
  <si>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</si>
  <si>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</si>
  <si>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</si>
  <si>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</si>
  <si>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</si>
  <si>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</si>
  <si>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</si>
  <si>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</si>
  <si>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</si>
  <si>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</si>
  <si>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</si>
  <si>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</si>
  <si>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</si>
  <si>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</si>
  <si>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</si>
  <si>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</si>
  <si>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</si>
  <si>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</si>
  <si>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</si>
  <si>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</si>
  <si>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</si>
  <si>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</si>
  <si>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</si>
  <si>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</si>
  <si>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</si>
  <si>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</si>
  <si>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</si>
  <si>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</si>
  <si>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</si>
  <si>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</si>
  <si>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</si>
  <si>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</si>
  <si>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</si>
  <si>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</si>
  <si>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</si>
  <si>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</si>
  <si>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</si>
  <si>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</si>
  <si>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</si>
  <si>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</si>
  <si>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</si>
  <si>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</si>
  <si>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</si>
  <si>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</si>
  <si>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</si>
  <si>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</si>
  <si>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</si>
  <si>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</si>
  <si>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</si>
  <si>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</si>
  <si>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</si>
  <si>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</si>
  <si>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</si>
  <si>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</si>
  <si>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</si>
  <si>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</si>
  <si>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</si>
  <si>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</si>
  <si>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</si>
  <si>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</si>
  <si>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</si>
  <si>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</si>
  <si>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</si>
  <si>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</si>
  <si>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</si>
  <si>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</si>
  <si>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</si>
  <si>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</si>
  <si>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</si>
  <si>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</si>
  <si>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</si>
  <si>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</si>
  <si>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</si>
  <si>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</si>
  <si>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</si>
  <si>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</si>
  <si>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</si>
  <si>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</si>
  <si>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</si>
  <si>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</si>
  <si>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</si>
  <si>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</si>
  <si>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</si>
  <si>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</si>
  <si>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</si>
  <si>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</si>
  <si>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</si>
  <si>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</si>
  <si>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</si>
  <si>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</si>
  <si>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</si>
  <si>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</si>
  <si>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</si>
  <si>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</si>
  <si>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</si>
  <si>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</si>
  <si>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</si>
  <si>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</si>
  <si>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</si>
  <si>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</si>
  <si>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</si>
  <si>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</si>
  <si>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</si>
  <si>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</si>
  <si>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</si>
  <si>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</si>
  <si>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</si>
  <si>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</si>
  <si>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</si>
  <si>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</si>
  <si>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</si>
  <si>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</si>
  <si>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</si>
  <si>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</si>
  <si>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</si>
  <si>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</si>
  <si>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</si>
  <si>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</si>
  <si>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</si>
  <si>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</si>
  <si>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</si>
  <si>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</si>
  <si>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</si>
  <si>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</si>
  <si>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</si>
  <si>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</si>
  <si>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</si>
  <si>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</si>
  <si>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</si>
  <si>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</si>
  <si>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</si>
  <si>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</si>
  <si>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</si>
  <si>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</si>
  <si>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</si>
  <si>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</si>
  <si>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</si>
  <si>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</si>
  <si>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</si>
  <si>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</si>
  <si>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</si>
  <si>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</si>
  <si>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</si>
  <si>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</si>
  <si>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</si>
  <si>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</si>
  <si>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</si>
  <si>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</si>
  <si>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</si>
  <si>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</si>
  <si>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</si>
  <si>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</si>
  <si>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</si>
  <si>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</si>
  <si>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</si>
  <si>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</si>
  <si>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</si>
  <si>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</si>
  <si>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</si>
  <si>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</si>
  <si>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</si>
  <si>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</si>
  <si>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</si>
  <si>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</si>
  <si>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</si>
  <si>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</si>
  <si>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</si>
  <si>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</si>
  <si>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</si>
  <si>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</si>
  <si>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</si>
  <si>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</si>
  <si>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</si>
  <si>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</si>
  <si>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</si>
  <si>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</si>
  <si>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</si>
  <si>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</si>
  <si>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</si>
  <si>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</si>
  <si>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</si>
  <si>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</si>
  <si>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</si>
  <si>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</si>
  <si>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</si>
  <si>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</si>
  <si>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</si>
  <si>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</si>
  <si>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</si>
  <si>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</si>
  <si>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</si>
  <si>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</si>
  <si>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</si>
  <si>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</si>
  <si>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</si>
  <si>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</si>
  <si>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</si>
  <si>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</si>
  <si>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</si>
  <si>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</si>
  <si>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</si>
  <si>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</si>
  <si>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</si>
  <si>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</si>
  <si>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</si>
  <si>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</si>
  <si>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</si>
  <si>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</si>
  <si>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</si>
  <si>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</si>
  <si>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</si>
  <si>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</si>
  <si>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</si>
  <si>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</si>
  <si>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</si>
  <si>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</si>
  <si>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</si>
  <si>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</si>
  <si>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</si>
  <si>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</si>
  <si>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</si>
  <si>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</si>
  <si>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</si>
  <si>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</si>
  <si>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</si>
  <si>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</si>
  <si>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</si>
  <si>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</si>
  <si>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</si>
  <si>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</si>
  <si>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</si>
  <si>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</si>
  <si>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</si>
  <si>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</si>
  <si>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</si>
  <si>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</si>
  <si>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</si>
  <si>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</si>
  <si>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</si>
  <si>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</si>
  <si>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</si>
  <si>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</si>
  <si>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</si>
  <si>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</si>
  <si>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</si>
  <si>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</si>
  <si>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</si>
  <si>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</si>
  <si>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</si>
  <si>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</si>
  <si>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</si>
  <si>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</si>
  <si>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</si>
  <si>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</si>
  <si>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</si>
  <si>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</si>
  <si>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</si>
  <si>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</si>
  <si>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</si>
  <si>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</si>
  <si>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</si>
  <si>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</si>
  <si>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</si>
  <si>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</si>
  <si>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</si>
  <si>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</si>
  <si>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</si>
  <si>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</si>
  <si>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</si>
  <si>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</si>
  <si>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</si>
  <si>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</si>
  <si>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</si>
  <si>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</si>
  <si>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</si>
  <si>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</si>
  <si>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</si>
  <si>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</si>
  <si>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</si>
  <si>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</si>
  <si>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</si>
  <si>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</si>
  <si>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</si>
  <si>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</si>
  <si>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</si>
  <si>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</si>
  <si>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</si>
  <si>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</si>
  <si>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</si>
  <si>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</si>
  <si>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</si>
  <si>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</si>
  <si>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</si>
  <si>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</si>
  <si>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</si>
  <si>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</si>
  <si>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</si>
  <si>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</si>
  <si>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</si>
  <si>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</si>
  <si>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</si>
  <si>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</si>
  <si>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</si>
  <si>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</si>
  <si>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</si>
  <si>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</si>
  <si>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</si>
  <si>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</si>
  <si>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</si>
  <si>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</si>
  <si>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</si>
  <si>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</si>
  <si>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</si>
  <si>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</si>
  <si>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</si>
  <si>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</si>
  <si>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</si>
  <si>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</si>
  <si>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</si>
  <si>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</si>
  <si>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</si>
  <si>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</si>
  <si>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</si>
  <si>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</si>
  <si>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</si>
  <si>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</si>
  <si>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</si>
  <si>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</si>
  <si>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</si>
  <si>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</si>
  <si>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</si>
  <si>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</si>
  <si>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</si>
  <si>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</si>
  <si>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</si>
  <si>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</si>
  <si>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</si>
  <si>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</si>
  <si>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</si>
  <si>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</si>
  <si>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</si>
  <si>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</si>
  <si>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</si>
  <si>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</si>
  <si>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</si>
  <si>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</si>
  <si>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</si>
  <si>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</si>
  <si>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</si>
  <si>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</si>
  <si>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</si>
  <si>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</si>
  <si>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</si>
  <si>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</si>
  <si>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</si>
  <si>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</si>
  <si>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</si>
  <si>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</si>
  <si>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</si>
  <si>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</si>
  <si>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</si>
  <si>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</si>
  <si>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</si>
  <si>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</si>
  <si>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</si>
  <si>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</si>
  <si>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</si>
  <si>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</si>
  <si>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</si>
  <si>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</si>
  <si>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</si>
  <si>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</si>
  <si>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</si>
  <si>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</si>
  <si>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</si>
  <si>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</si>
  <si>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</si>
  <si>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</si>
  <si>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</si>
  <si>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</si>
  <si>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</si>
  <si>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</si>
  <si>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</si>
  <si>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</si>
  <si>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</si>
  <si>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</si>
  <si>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</si>
  <si>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</si>
  <si>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</si>
  <si>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</si>
  <si>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</si>
  <si>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</si>
  <si>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</si>
  <si>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</si>
  <si>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</si>
  <si>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</si>
  <si>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</si>
  <si>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</si>
  <si>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</si>
  <si>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</si>
  <si>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</si>
  <si>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</si>
  <si>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</si>
  <si>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</si>
  <si>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</si>
  <si>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</si>
  <si>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</si>
  <si>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</si>
  <si>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</si>
  <si>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</si>
  <si>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</si>
  <si>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</si>
  <si>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</si>
  <si>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</si>
  <si>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</si>
  <si>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</si>
  <si>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</si>
  <si>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</si>
  <si>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</si>
  <si>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</si>
  <si>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</si>
  <si>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</si>
  <si>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</si>
  <si>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</si>
  <si>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</si>
  <si>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</si>
  <si>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</si>
  <si>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</si>
  <si>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</si>
  <si>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</si>
  <si>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</si>
  <si>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</si>
  <si>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</si>
  <si>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</si>
  <si>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</si>
  <si>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</si>
  <si>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</si>
  <si>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</si>
  <si>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</si>
  <si>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</si>
  <si>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</si>
  <si>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</si>
  <si>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</si>
  <si>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</si>
  <si>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</si>
  <si>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</si>
  <si>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</si>
  <si>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</si>
  <si>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</si>
  <si>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</si>
  <si>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</si>
  <si>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</si>
  <si>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</si>
  <si>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</si>
  <si>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</si>
  <si>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</si>
  <si>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</si>
  <si>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</si>
  <si>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</si>
  <si>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</si>
  <si>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</si>
  <si>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</si>
  <si>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</si>
  <si>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</si>
  <si>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</si>
  <si>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</si>
  <si>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</si>
  <si>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</si>
  <si>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</si>
  <si>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</si>
  <si>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</si>
  <si>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</si>
  <si>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</si>
  <si>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</si>
  <si>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</si>
  <si>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</si>
  <si>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</si>
  <si>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</si>
  <si>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</si>
  <si>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</si>
  <si>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</si>
  <si>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</si>
  <si>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</si>
  <si>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</si>
  <si>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</si>
  <si>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</si>
  <si>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</si>
  <si>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</si>
  <si>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</si>
  <si>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</si>
  <si>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</si>
  <si>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</si>
  <si>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</si>
  <si>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</si>
  <si>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</si>
  <si>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</si>
  <si>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</si>
  <si>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</si>
  <si>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</si>
  <si>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</si>
  <si>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</si>
  <si>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</si>
  <si>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</si>
  <si>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</si>
  <si>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</si>
  <si>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</si>
  <si>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</si>
  <si>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</si>
  <si>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</si>
  <si>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</si>
  <si>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</si>
  <si>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</si>
  <si>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</si>
  <si>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</si>
  <si>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</si>
  <si>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</si>
  <si>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</si>
  <si>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</si>
  <si>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</si>
  <si>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</si>
  <si>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</si>
  <si>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</si>
  <si>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</si>
  <si>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</si>
  <si>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</si>
  <si>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</si>
  <si>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</si>
  <si>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</si>
  <si>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</si>
  <si>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</si>
  <si>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</si>
  <si>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</si>
  <si>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</si>
  <si>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</si>
  <si>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</si>
  <si>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</si>
  <si>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</si>
  <si>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</si>
  <si>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</si>
  <si>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</si>
  <si>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</si>
  <si>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</si>
  <si>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</si>
  <si>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</si>
  <si>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</si>
  <si>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</si>
  <si>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</si>
  <si>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</si>
  <si>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</si>
  <si>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</si>
  <si>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</si>
  <si>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</si>
  <si>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</si>
  <si>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</si>
  <si>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</si>
  <si>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</si>
  <si>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</si>
  <si>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</si>
  <si>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</si>
  <si>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</si>
  <si>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</si>
  <si>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</si>
  <si>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</si>
  <si>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</si>
  <si>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</si>
  <si>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</si>
  <si>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</si>
  <si>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</si>
  <si>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</si>
  <si>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</si>
  <si>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</si>
  <si>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</si>
  <si>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</si>
  <si>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</si>
  <si>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</si>
  <si>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</si>
  <si>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</si>
  <si>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</si>
  <si>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</si>
  <si>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</si>
  <si>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</si>
  <si>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</si>
  <si>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</si>
  <si>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</si>
  <si>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</si>
  <si>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</si>
  <si>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</si>
  <si>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</si>
  <si>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</si>
  <si>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</si>
  <si>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</si>
  <si>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</si>
  <si>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</si>
  <si>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</si>
  <si>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</si>
  <si>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</si>
  <si>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</si>
  <si>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</si>
  <si>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</si>
  <si>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</si>
  <si>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</si>
  <si>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</si>
  <si>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</si>
  <si>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</si>
  <si>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</si>
  <si>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</si>
  <si>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</si>
  <si>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</si>
  <si>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</si>
  <si>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</si>
  <si>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</si>
  <si>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</si>
  <si>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</si>
  <si>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</si>
  <si>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</si>
  <si>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</si>
  <si>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</si>
  <si>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</si>
  <si>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</si>
  <si>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</si>
  <si>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</si>
  <si>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</si>
  <si>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</si>
  <si>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</si>
  <si>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</si>
  <si>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</si>
  <si>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</si>
  <si>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</si>
  <si>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</si>
  <si>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</si>
  <si>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</si>
  <si>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</si>
  <si>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</si>
  <si>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</si>
  <si>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</si>
  <si>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</si>
  <si>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</si>
  <si>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</si>
  <si>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</si>
  <si>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</si>
  <si>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</si>
  <si>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</si>
  <si>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</si>
  <si>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</si>
  <si>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</si>
  <si>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</si>
  <si>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</si>
  <si>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</si>
  <si>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</si>
  <si>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</si>
  <si>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</si>
  <si>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</si>
  <si>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</si>
  <si>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</si>
  <si>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</si>
  <si>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</si>
  <si>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</si>
  <si>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</si>
  <si>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</si>
  <si>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</si>
  <si>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</si>
  <si>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</si>
  <si>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</si>
  <si>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</si>
  <si>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</si>
  <si>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</si>
  <si>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</si>
  <si>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</si>
  <si>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</si>
  <si>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</si>
  <si>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</si>
  <si>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</si>
  <si>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</si>
  <si>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</si>
  <si>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</si>
  <si>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</si>
  <si>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</si>
  <si>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</si>
  <si>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</si>
  <si>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</si>
  <si>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</si>
  <si>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</si>
  <si>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</si>
  <si>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</si>
  <si>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</si>
  <si>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</si>
  <si>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</si>
  <si>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</si>
  <si>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</si>
  <si>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</si>
  <si>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</si>
  <si>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</si>
  <si>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</si>
  <si>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</si>
  <si>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</si>
  <si>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</si>
  <si>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</si>
  <si>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</si>
  <si>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</si>
  <si>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</si>
  <si>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</si>
  <si>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</si>
  <si>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</si>
  <si>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</si>
  <si>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</si>
  <si>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</si>
  <si>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</si>
  <si>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</si>
  <si>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</si>
  <si>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</si>
  <si>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</si>
  <si>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</si>
  <si>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</si>
  <si>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</si>
  <si>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</si>
  <si>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</si>
  <si>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</si>
  <si>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</si>
  <si>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</si>
  <si>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</si>
  <si>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</si>
  <si>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</si>
  <si>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</si>
  <si>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</si>
  <si>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</si>
  <si>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</si>
  <si>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</si>
  <si>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</si>
  <si>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</si>
  <si>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</si>
  <si>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</si>
  <si>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</si>
  <si>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</si>
  <si>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</si>
  <si>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</si>
  <si>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</si>
  <si>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</si>
  <si>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</si>
  <si>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</si>
  <si>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</si>
  <si>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</si>
  <si>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</si>
  <si>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</si>
  <si>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</si>
  <si>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</si>
  <si>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</si>
  <si>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</si>
  <si>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</si>
  <si>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</si>
  <si>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</si>
  <si>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</si>
  <si>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</si>
  <si>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</si>
  <si>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</si>
  <si>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</si>
  <si>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</si>
  <si>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</si>
  <si>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</si>
  <si>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</si>
  <si>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</si>
  <si>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</si>
  <si>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</si>
  <si>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</si>
  <si>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</si>
  <si>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</si>
  <si>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</si>
  <si>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</si>
  <si>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</si>
  <si>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</si>
  <si>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</si>
  <si>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</si>
  <si>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</si>
  <si>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</si>
  <si>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</si>
  <si>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</si>
  <si>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</si>
  <si>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</si>
  <si>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</si>
  <si>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</si>
  <si>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</si>
  <si>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</si>
  <si>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</si>
  <si>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</si>
  <si>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</si>
  <si>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</si>
  <si>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</si>
  <si>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</si>
  <si>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</si>
  <si>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</si>
  <si>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</si>
  <si>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</si>
  <si>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</si>
  <si>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</si>
  <si>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</si>
  <si>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</si>
  <si>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</si>
  <si>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</si>
  <si>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</si>
  <si>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</si>
  <si>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</si>
  <si>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</si>
  <si>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</si>
  <si>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</si>
  <si>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</si>
  <si>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</si>
  <si>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</si>
  <si>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</si>
  <si>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</si>
  <si>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</si>
  <si>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</si>
  <si>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</si>
  <si>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</si>
  <si>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</si>
  <si>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</si>
  <si>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</si>
  <si>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</si>
  <si>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</si>
  <si>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</si>
  <si>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</si>
  <si>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</si>
  <si>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</si>
  <si>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</si>
  <si>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</si>
  <si>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</si>
  <si>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</si>
  <si>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</si>
  <si>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</si>
  <si>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</si>
  <si>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</si>
  <si>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</si>
  <si>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</si>
  <si>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</si>
  <si>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</si>
  <si>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</si>
  <si>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</si>
  <si>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</si>
  <si>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</si>
  <si>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</si>
  <si>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</si>
  <si>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</si>
  <si>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</si>
  <si>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</si>
  <si>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</si>
  <si>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</si>
  <si>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</si>
  <si>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</si>
  <si>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</si>
  <si>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</si>
  <si>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</si>
  <si>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</si>
  <si>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</si>
  <si>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</si>
  <si>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</si>
  <si>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</si>
  <si>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</si>
  <si>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</si>
  <si>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</si>
  <si>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</si>
  <si>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</si>
  <si>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</si>
  <si>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</si>
  <si>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</si>
  <si>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</si>
  <si>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</si>
  <si>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</si>
  <si>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</si>
  <si>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</si>
  <si>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</si>
  <si>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</si>
  <si>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</si>
  <si>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</si>
  <si>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</si>
  <si>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</si>
  <si>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</si>
  <si>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</si>
  <si>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</si>
  <si>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</si>
  <si>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</si>
  <si>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</si>
  <si>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</si>
  <si>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</si>
  <si>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</si>
  <si>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</si>
  <si>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</si>
  <si>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</si>
  <si>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</si>
  <si>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</si>
  <si>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</si>
  <si>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</si>
  <si>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</si>
  <si>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</si>
  <si>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</si>
  <si>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</si>
  <si>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</si>
  <si>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</si>
  <si>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</si>
  <si>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</si>
  <si>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</si>
  <si>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</si>
  <si>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</si>
  <si>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</si>
  <si>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</si>
  <si>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</si>
  <si>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</si>
  <si>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</si>
  <si>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</si>
  <si>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</si>
  <si>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</si>
  <si>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</si>
  <si>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</si>
  <si>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</si>
  <si>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</si>
  <si>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</si>
  <si>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</si>
  <si>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</si>
  <si>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</si>
  <si>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</si>
  <si>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</si>
  <si>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</si>
  <si>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</si>
  <si>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</si>
  <si>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</si>
  <si>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</si>
  <si>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</si>
  <si>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</si>
  <si>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</si>
  <si>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</si>
  <si>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</si>
  <si>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</si>
  <si>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</si>
  <si>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</si>
  <si>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</si>
  <si>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</si>
  <si>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</si>
  <si>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</si>
  <si>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</si>
  <si>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</si>
  <si>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</si>
  <si>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</si>
  <si>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</si>
  <si>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</si>
  <si>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</si>
  <si>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</si>
  <si>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</si>
  <si>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</si>
  <si>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</si>
  <si>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</si>
  <si>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</si>
  <si>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</si>
  <si>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</si>
  <si>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</si>
  <si>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</si>
  <si>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</si>
  <si>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</si>
  <si>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</si>
  <si>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</si>
  <si>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</si>
  <si>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</si>
  <si>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</si>
  <si>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</si>
  <si>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</si>
  <si>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</si>
  <si>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</si>
  <si>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</si>
  <si>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</si>
  <si>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</si>
  <si>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</si>
  <si>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</si>
  <si>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</si>
  <si>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</si>
  <si>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</si>
  <si>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</si>
  <si>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</si>
  <si>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</si>
  <si>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</si>
  <si>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</si>
  <si>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</si>
  <si>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</si>
  <si>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</si>
  <si>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</si>
  <si>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</si>
  <si>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</si>
  <si>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</si>
  <si>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</si>
  <si>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</si>
  <si>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</si>
  <si>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</si>
  <si>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</si>
  <si>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</si>
  <si>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</si>
  <si>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</si>
  <si>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</si>
  <si>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</si>
  <si>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</si>
  <si>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</si>
  <si>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</si>
  <si>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</si>
  <si>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</si>
  <si>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</si>
  <si>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</si>
  <si>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</si>
  <si>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</si>
  <si>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</si>
  <si>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</si>
  <si>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</si>
  <si>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</si>
  <si>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</si>
  <si>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</si>
  <si>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</si>
  <si>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</si>
  <si>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</si>
  <si>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</si>
  <si>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</si>
  <si>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</si>
  <si>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</si>
  <si>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</si>
  <si>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</si>
  <si>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</si>
  <si>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</si>
  <si>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</si>
  <si>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</si>
  <si>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</si>
  <si>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</si>
  <si>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</si>
  <si>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</si>
  <si>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</si>
  <si>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</si>
  <si>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</si>
  <si>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</si>
  <si>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</si>
  <si>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</si>
  <si>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</si>
  <si>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</si>
  <si>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</si>
  <si>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</si>
  <si>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</si>
  <si>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</si>
  <si>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</si>
  <si>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</si>
  <si>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</si>
  <si>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</si>
  <si>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</si>
  <si>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</si>
  <si>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</si>
  <si>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</si>
  <si>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</si>
  <si>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</si>
  <si>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</si>
  <si>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</si>
  <si>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</si>
  <si>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</si>
  <si>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</si>
  <si>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</si>
  <si>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</si>
  <si>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</si>
  <si>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</si>
  <si>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</si>
  <si>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</si>
  <si>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</si>
  <si>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</si>
  <si>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</si>
  <si>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</si>
  <si>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</si>
  <si>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</si>
  <si>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</si>
  <si>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</si>
  <si>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</si>
  <si>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</si>
  <si>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</si>
  <si>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</si>
  <si>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</si>
  <si>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</si>
  <si>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</si>
  <si>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</si>
  <si>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</si>
  <si>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</si>
  <si>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</si>
  <si>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</si>
  <si>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</si>
  <si>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</si>
  <si>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</si>
  <si>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</si>
  <si>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</si>
  <si>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</si>
  <si>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</si>
  <si>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</si>
  <si>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</si>
  <si>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</si>
  <si>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</si>
  <si>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</si>
  <si>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</si>
  <si>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</si>
  <si>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</si>
  <si>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</si>
  <si>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</si>
  <si>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</si>
  <si>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</si>
  <si>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</si>
  <si>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</si>
  <si>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</si>
  <si>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</si>
  <si>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</si>
  <si>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</si>
  <si>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</si>
  <si>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</si>
  <si>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</si>
  <si>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</si>
  <si>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</si>
  <si>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</si>
  <si>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</si>
  <si>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</si>
  <si>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</si>
  <si>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</si>
  <si>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</si>
  <si>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</si>
  <si>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</si>
  <si>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</si>
  <si>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</si>
  <si>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</si>
  <si>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</si>
  <si>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</si>
  <si>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</si>
  <si>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</si>
  <si>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</si>
  <si>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</si>
  <si>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</si>
  <si>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</si>
  <si>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</si>
  <si>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</si>
  <si>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</si>
  <si>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</si>
  <si>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</si>
  <si>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</si>
  <si>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</si>
  <si>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</si>
  <si>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</si>
  <si>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</si>
  <si>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</si>
  <si>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</si>
  <si>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</si>
  <si>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</si>
  <si>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</si>
  <si>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</si>
  <si>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</si>
  <si>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</si>
  <si>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</si>
  <si>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</si>
  <si>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</si>
  <si>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</si>
  <si>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</si>
  <si>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</si>
  <si>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</si>
  <si>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</si>
  <si>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</si>
  <si>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</si>
  <si>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</si>
  <si>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</si>
  <si>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</si>
  <si>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</si>
  <si>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</si>
  <si>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</si>
  <si>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</si>
  <si>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</si>
  <si>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</si>
  <si>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</si>
  <si>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</si>
  <si>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</si>
  <si>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</si>
  <si>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</si>
  <si>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</si>
  <si>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</si>
  <si>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</si>
  <si>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</si>
  <si>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</si>
  <si>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</si>
  <si>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</si>
  <si>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</si>
  <si>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</si>
  <si>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</si>
  <si>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</si>
  <si>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</si>
  <si>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</si>
  <si>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</si>
  <si>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</si>
  <si>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</si>
  <si>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</si>
  <si>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</si>
  <si>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</si>
  <si>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</si>
  <si>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</si>
  <si>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</si>
  <si>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</si>
  <si>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</si>
  <si>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</si>
  <si>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</si>
  <si>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</si>
  <si>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</si>
  <si>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</si>
  <si>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</si>
  <si>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</si>
  <si>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</si>
  <si>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</si>
  <si>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</si>
  <si>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</si>
  <si>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</si>
  <si>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</si>
  <si>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</si>
  <si>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</si>
  <si>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</si>
  <si>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</si>
  <si>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</si>
  <si>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</si>
  <si>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</si>
  <si>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</si>
  <si>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</si>
  <si>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</si>
  <si>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</si>
  <si>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</si>
  <si>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</si>
  <si>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</si>
  <si>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</si>
  <si>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</si>
  <si>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</si>
  <si>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</si>
  <si>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</si>
  <si>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</si>
  <si>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</si>
  <si>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</si>
  <si>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</si>
  <si>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</si>
  <si>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</si>
  <si>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</si>
  <si>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</si>
  <si>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</si>
  <si>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</si>
  <si>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</si>
  <si>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</si>
  <si>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</si>
  <si>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</si>
  <si>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</si>
  <si>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</si>
  <si>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</si>
  <si>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</si>
  <si>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</si>
  <si>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</si>
  <si>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</si>
  <si>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</si>
  <si>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</si>
  <si>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</si>
  <si>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</si>
  <si>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</si>
  <si>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</si>
  <si>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</si>
  <si>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</si>
  <si>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</si>
  <si>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</si>
  <si>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</si>
  <si>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</si>
  <si>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</si>
  <si>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</si>
  <si>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</si>
  <si>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</si>
  <si>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</si>
  <si>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</si>
  <si>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</si>
  <si>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</si>
  <si>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</si>
  <si>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</si>
  <si>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</si>
  <si>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</si>
  <si>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</si>
  <si>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</si>
  <si>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</si>
  <si>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</si>
  <si>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</si>
  <si>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</si>
  <si>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</si>
  <si>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</si>
  <si>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</si>
  <si>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</si>
  <si>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</si>
  <si>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</si>
  <si>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</si>
  <si>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</si>
  <si>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</si>
  <si>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</si>
  <si>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</si>
  <si>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</si>
  <si>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</si>
  <si>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</si>
  <si>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</si>
  <si>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</si>
  <si>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</si>
  <si>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</si>
  <si>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</si>
  <si>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</si>
  <si>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</si>
  <si>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</si>
  <si>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</si>
  <si>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</si>
  <si>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</si>
  <si>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</si>
  <si>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</si>
  <si>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</si>
  <si>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</si>
  <si>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</si>
  <si>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</si>
  <si>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</si>
  <si>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</si>
  <si>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</si>
  <si>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</si>
  <si>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</si>
  <si>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</si>
  <si>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</si>
  <si>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</si>
  <si>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</si>
  <si>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</si>
  <si>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</si>
  <si>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</si>
  <si>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</si>
  <si>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</si>
  <si>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</si>
  <si>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</si>
  <si>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</si>
  <si>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</si>
  <si>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</si>
  <si>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</si>
  <si>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</si>
  <si>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</si>
  <si>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</si>
  <si>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</si>
  <si>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</si>
  <si>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</si>
  <si>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</si>
  <si>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</si>
  <si>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</si>
  <si>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</si>
  <si>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</si>
  <si>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</si>
  <si>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</si>
  <si>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</si>
  <si>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</si>
  <si>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</si>
  <si>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</si>
  <si>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</si>
  <si>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</si>
  <si>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</si>
  <si>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</si>
  <si>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</si>
  <si>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</si>
  <si>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</si>
  <si>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</si>
  <si>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</si>
  <si>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</si>
  <si>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</si>
  <si>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</si>
  <si>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</si>
  <si>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</si>
  <si>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</si>
  <si>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</si>
  <si>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</si>
  <si>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</si>
  <si>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</si>
  <si>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</si>
  <si>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</si>
  <si>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</si>
  <si>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</si>
  <si>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</si>
  <si>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</si>
  <si>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</si>
  <si>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</si>
  <si>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</si>
  <si>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</si>
  <si>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</si>
  <si>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</si>
  <si>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</si>
  <si>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</si>
  <si>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</si>
  <si>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</si>
  <si>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</si>
  <si>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</si>
  <si>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</si>
  <si>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</si>
  <si>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</si>
  <si>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</si>
  <si>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</si>
  <si>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</si>
  <si>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</si>
  <si>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</si>
  <si>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</si>
  <si>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</si>
  <si>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</si>
  <si>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</si>
  <si>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</si>
  <si>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</si>
  <si>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</si>
  <si>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</si>
  <si>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</si>
  <si>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</si>
  <si>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</si>
  <si>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</si>
  <si>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</si>
  <si>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</si>
  <si>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</si>
  <si>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</si>
  <si>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</si>
  <si>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</si>
  <si>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</si>
  <si>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</si>
  <si>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</si>
  <si>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</si>
  <si>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</si>
  <si>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</si>
  <si>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</si>
  <si>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</si>
  <si>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</si>
  <si>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</si>
  <si>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</si>
  <si>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</si>
  <si>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</si>
  <si>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</si>
  <si>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</si>
  <si>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</si>
  <si>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</si>
  <si>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</si>
  <si>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</si>
  <si>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</si>
  <si>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</si>
  <si>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</si>
  <si>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</si>
  <si>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</si>
  <si>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</si>
  <si>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</si>
  <si>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</si>
  <si>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</si>
  <si>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</si>
  <si>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</si>
  <si>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</si>
  <si>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</si>
  <si>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</si>
  <si>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</si>
  <si>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</si>
  <si>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</si>
  <si>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</si>
  <si>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</si>
  <si>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</si>
  <si>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</si>
  <si>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</si>
  <si>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</si>
  <si>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</si>
  <si>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</si>
  <si>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</si>
  <si>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</si>
  <si>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</si>
  <si>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</si>
  <si>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</si>
  <si>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</si>
  <si>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</si>
  <si>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</si>
  <si>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</si>
  <si>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</si>
  <si>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</si>
  <si>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</si>
  <si>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</si>
  <si>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</si>
  <si>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</si>
  <si>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</si>
  <si>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</si>
  <si>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</si>
  <si>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</si>
  <si>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</si>
  <si>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</si>
  <si>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</si>
  <si>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</si>
  <si>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</si>
  <si>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</si>
  <si>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</si>
  <si>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</si>
  <si>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</si>
  <si>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</si>
  <si>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</si>
  <si>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</si>
  <si>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</si>
  <si>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</si>
  <si>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</si>
  <si>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</si>
  <si>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</si>
  <si>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</si>
  <si>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</si>
  <si>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</si>
  <si>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</si>
  <si>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</si>
  <si>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</si>
  <si>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</si>
  <si>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</si>
  <si>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</si>
  <si>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</si>
  <si>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</si>
  <si>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</si>
  <si>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</si>
  <si>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</si>
  <si>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</si>
  <si>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</si>
  <si>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</si>
  <si>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</si>
  <si>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</si>
  <si>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</si>
  <si>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</si>
  <si>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</si>
  <si>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</si>
  <si>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</si>
  <si>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</si>
  <si>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</si>
  <si>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</si>
  <si>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</si>
  <si>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</si>
  <si>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</si>
  <si>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</si>
  <si>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</si>
  <si>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</si>
  <si>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</si>
  <si>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</si>
  <si>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</si>
  <si>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</si>
  <si>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</si>
  <si>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</si>
  <si>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</si>
  <si>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</si>
  <si>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</si>
  <si>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</si>
  <si>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</si>
  <si>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</si>
  <si>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</si>
  <si>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</si>
  <si>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</si>
  <si>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</si>
  <si>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</si>
  <si>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</si>
  <si>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</si>
  <si>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</si>
  <si>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</si>
  <si>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</si>
  <si>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</si>
  <si>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</si>
  <si>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</si>
  <si>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</si>
  <si>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</si>
  <si>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</si>
  <si>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</si>
  <si>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</si>
  <si>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</si>
  <si>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</si>
  <si>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</si>
  <si>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</si>
  <si>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</si>
  <si>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</si>
  <si>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</si>
  <si>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</si>
  <si>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</si>
  <si>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</si>
  <si>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</si>
  <si>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</si>
  <si>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</si>
  <si>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</si>
  <si>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</si>
  <si>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</si>
  <si>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</si>
  <si>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</si>
  <si>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</si>
  <si>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</si>
  <si>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</si>
  <si>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</si>
  <si>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</si>
  <si>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</si>
  <si>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</si>
  <si>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</si>
  <si>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</si>
  <si>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</si>
  <si>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</si>
  <si>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</si>
  <si>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</si>
  <si>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</si>
  <si>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</si>
  <si>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</si>
  <si>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</si>
  <si>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</si>
  <si>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</si>
  <si>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</si>
  <si>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</si>
  <si>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</si>
  <si>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</si>
  <si>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</si>
  <si>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</si>
  <si>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</si>
  <si>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</si>
  <si>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</si>
  <si>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</si>
  <si>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</si>
  <si>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</si>
  <si>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</si>
  <si>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</si>
  <si>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</si>
  <si>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</si>
  <si>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</si>
  <si>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</si>
  <si>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</si>
  <si>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</si>
  <si>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</si>
  <si>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</si>
  <si>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</si>
  <si>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</si>
  <si>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</si>
  <si>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</si>
  <si>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</si>
  <si>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</si>
  <si>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</si>
  <si>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</si>
  <si>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</si>
  <si>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</si>
  <si>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</si>
  <si>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</si>
  <si>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</si>
  <si>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</si>
  <si>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</si>
  <si>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</si>
  <si>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</si>
  <si>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</si>
  <si>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</si>
  <si>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</si>
  <si>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</si>
  <si>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</si>
  <si>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</si>
  <si>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</si>
  <si>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</si>
  <si>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</si>
  <si>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</si>
  <si>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</si>
  <si>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</si>
  <si>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</si>
  <si>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</si>
  <si>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</si>
  <si>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</si>
  <si>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</si>
  <si>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</si>
  <si>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</si>
  <si>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</si>
  <si>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</si>
  <si>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</si>
  <si>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</si>
  <si>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</si>
  <si>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</si>
  <si>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</si>
  <si>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</si>
  <si>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</si>
  <si>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</si>
  <si>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</si>
  <si>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</si>
  <si>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</si>
  <si>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</si>
  <si>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</si>
  <si>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</si>
  <si>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</si>
  <si>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</si>
  <si>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</si>
  <si>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</si>
  <si>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</si>
  <si>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</si>
  <si>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</si>
  <si>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</si>
  <si>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</si>
  <si>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</si>
  <si>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</si>
  <si>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</si>
  <si>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</si>
  <si>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</si>
  <si>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</si>
  <si>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</si>
  <si>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</si>
  <si>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</si>
  <si>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</si>
  <si>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</si>
  <si>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</si>
  <si>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</si>
  <si>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</si>
  <si>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</si>
  <si>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</si>
  <si>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</si>
  <si>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</si>
  <si>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</si>
  <si>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</si>
  <si>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</si>
  <si>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</si>
  <si>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</si>
  <si>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</si>
  <si>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</si>
  <si>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</si>
  <si>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</si>
  <si>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</si>
  <si>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</si>
  <si>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</si>
  <si>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</si>
  <si>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</si>
  <si>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</si>
  <si>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</si>
  <si>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</si>
  <si>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</si>
  <si>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</si>
  <si>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</si>
  <si>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</si>
  <si>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</si>
  <si>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</si>
  <si>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</si>
  <si>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</si>
  <si>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</si>
  <si>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</si>
  <si>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</si>
  <si>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</si>
  <si>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</si>
  <si>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</si>
  <si>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</si>
  <si>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</si>
  <si>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</si>
  <si>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</si>
  <si>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</si>
  <si>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</si>
  <si>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</si>
  <si>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</si>
  <si>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</si>
  <si>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</si>
  <si>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</si>
  <si>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</si>
  <si>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</si>
  <si>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</si>
  <si>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</si>
  <si>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</si>
  <si>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</si>
  <si>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</si>
  <si>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</si>
  <si>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</si>
  <si>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</si>
  <si>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</si>
  <si>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</si>
  <si>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</si>
  <si>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</si>
  <si>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</si>
  <si>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</si>
  <si>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</si>
  <si>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</si>
  <si>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</si>
  <si>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</si>
  <si>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</si>
  <si>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</si>
  <si>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</si>
  <si>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</si>
  <si>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</si>
  <si>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</si>
  <si>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</si>
  <si>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</si>
  <si>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</si>
  <si>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</si>
  <si>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</si>
  <si>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</si>
  <si>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</si>
  <si>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</si>
  <si>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</si>
  <si>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</si>
  <si>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</si>
  <si>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</si>
  <si>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</si>
  <si>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</si>
  <si>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</si>
  <si>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</si>
  <si>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</si>
  <si>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</si>
  <si>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</si>
  <si>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</si>
  <si>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</si>
  <si>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</si>
  <si>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</si>
  <si>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</si>
  <si>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</si>
  <si>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</si>
  <si>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</si>
  <si>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</si>
  <si>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</si>
  <si>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</si>
  <si>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</si>
  <si>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</si>
  <si>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</si>
  <si>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</si>
  <si>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</si>
  <si>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</si>
  <si>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</si>
  <si>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</si>
  <si>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</si>
  <si>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</si>
  <si>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</si>
  <si>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</si>
  <si>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</si>
  <si>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</si>
  <si>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</si>
  <si>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</si>
  <si>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</si>
  <si>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</si>
  <si>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</si>
  <si>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</si>
  <si>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</si>
  <si>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</si>
  <si>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</si>
  <si>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</si>
  <si>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</si>
  <si>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</si>
  <si>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</si>
  <si>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</si>
  <si>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</si>
  <si>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</si>
  <si>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</si>
  <si>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</si>
  <si>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</si>
  <si>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</si>
  <si>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</si>
  <si>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</si>
  <si>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</si>
  <si>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</si>
  <si>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</si>
  <si>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</si>
  <si>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</si>
  <si>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</si>
  <si>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</si>
  <si>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</si>
  <si>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</si>
  <si>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</si>
  <si>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</si>
  <si>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</si>
  <si>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</si>
  <si>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</si>
  <si>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</si>
  <si>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</si>
  <si>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</si>
  <si>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</si>
  <si>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</si>
  <si>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</si>
  <si>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</si>
  <si>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</si>
  <si>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</si>
  <si>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</si>
  <si>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</si>
  <si>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</si>
  <si>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</si>
  <si>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</si>
  <si>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</si>
  <si>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</si>
  <si>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</si>
  <si>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</si>
  <si>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</si>
  <si>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</si>
  <si>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</si>
  <si>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</si>
  <si>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</si>
  <si>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</si>
  <si>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</si>
  <si>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</si>
  <si>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</si>
  <si>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</si>
  <si>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</si>
  <si>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</si>
  <si>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</si>
  <si>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</si>
  <si>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</si>
  <si>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</si>
  <si>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</si>
  <si>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</si>
  <si>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</si>
  <si>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</si>
  <si>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</si>
  <si>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</si>
  <si>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</si>
  <si>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</si>
  <si>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</si>
  <si>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</si>
  <si>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</si>
  <si>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</si>
  <si>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</si>
  <si>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</si>
  <si>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</si>
  <si>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</si>
  <si>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</si>
  <si>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</si>
  <si>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</si>
  <si>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</si>
  <si>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</si>
  <si>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</si>
  <si>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</si>
  <si>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</si>
  <si>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</si>
  <si>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</si>
  <si>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</si>
  <si>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</si>
  <si>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</si>
  <si>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</si>
  <si>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</si>
  <si>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</si>
  <si>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</si>
  <si>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</si>
  <si>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</si>
  <si>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</si>
  <si>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</si>
  <si>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</si>
  <si>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</si>
  <si>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</si>
  <si>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</si>
  <si>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</si>
  <si>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</si>
  <si>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</si>
  <si>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</si>
  <si>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</si>
  <si>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</si>
  <si>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</si>
  <si>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</si>
  <si>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</si>
  <si>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</si>
  <si>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</si>
  <si>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</si>
  <si>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</si>
  <si>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</si>
  <si>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</si>
  <si>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</si>
  <si>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</si>
  <si>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</si>
  <si>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</si>
  <si>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</si>
  <si>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</si>
  <si>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</si>
  <si>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</si>
  <si>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</si>
  <si>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</si>
  <si>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</si>
  <si>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</si>
  <si>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</si>
  <si>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</si>
  <si>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</si>
  <si>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</si>
  <si>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</si>
  <si>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</si>
  <si>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</si>
  <si>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</si>
  <si>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</si>
  <si>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</si>
  <si>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</si>
  <si>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</si>
  <si>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</si>
  <si>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</si>
  <si>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</si>
  <si>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</si>
  <si>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</si>
  <si>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</si>
  <si>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</si>
  <si>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</si>
  <si>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</si>
  <si>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</si>
  <si>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</si>
  <si>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</si>
  <si>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</si>
  <si>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</si>
  <si>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</si>
  <si>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</si>
  <si>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</si>
  <si>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</si>
  <si>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</si>
  <si>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</si>
  <si>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</si>
  <si>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</si>
  <si>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</si>
  <si>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</si>
  <si>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</si>
  <si>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</si>
  <si>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</si>
  <si>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</si>
  <si>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</si>
  <si>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</si>
  <si>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</si>
  <si>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</si>
  <si>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</si>
  <si>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</si>
  <si>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</si>
  <si>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</si>
  <si>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</si>
  <si>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</si>
  <si>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</si>
  <si>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</si>
  <si>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</si>
  <si>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</si>
  <si>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</si>
  <si>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</si>
  <si>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</si>
  <si>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</si>
  <si>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</si>
  <si>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</si>
  <si>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</si>
  <si>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</si>
  <si>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</si>
  <si>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</si>
  <si>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</si>
  <si>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</si>
  <si>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</si>
  <si>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</si>
  <si>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</si>
  <si>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</si>
  <si>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</si>
  <si>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</si>
  <si>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</si>
  <si>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</si>
  <si>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</si>
  <si>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</si>
  <si>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</si>
  <si>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</si>
  <si>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</si>
  <si>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</si>
  <si>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</si>
  <si>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</si>
  <si>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</si>
  <si>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</si>
  <si>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</si>
  <si>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</si>
  <si>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</si>
  <si>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</si>
  <si>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</si>
  <si>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</si>
  <si>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</si>
  <si>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</si>
  <si>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</si>
  <si>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</si>
  <si>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</si>
  <si>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</si>
  <si>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</si>
  <si>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</si>
  <si>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</si>
  <si>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</si>
  <si>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</si>
  <si>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</si>
  <si>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</si>
  <si>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</si>
  <si>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</si>
  <si>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</si>
  <si>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</si>
  <si>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</si>
  <si>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</si>
  <si>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</si>
  <si>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</si>
  <si>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</si>
  <si>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</si>
  <si>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</si>
  <si>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</si>
  <si>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</si>
  <si>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</si>
  <si>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</si>
  <si>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</si>
  <si>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</si>
  <si>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</si>
  <si>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</si>
  <si>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</si>
  <si>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</si>
  <si>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</si>
  <si>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</si>
  <si>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</si>
  <si>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</si>
  <si>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</si>
  <si>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</si>
  <si>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</si>
  <si>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</si>
  <si>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</si>
  <si>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</si>
  <si>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</si>
  <si>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</si>
  <si>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</si>
  <si>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</si>
  <si>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</si>
  <si>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</si>
  <si>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</si>
  <si>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</si>
  <si>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</si>
  <si>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</si>
  <si>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</si>
  <si>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</si>
  <si>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</si>
  <si>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</si>
  <si>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</si>
  <si>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</si>
  <si>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</si>
  <si>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</si>
  <si>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</si>
  <si>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</si>
  <si>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</si>
  <si>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</si>
  <si>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</si>
  <si>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</si>
  <si>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</si>
  <si>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</si>
  <si>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</si>
  <si>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</si>
  <si>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</si>
  <si>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</si>
  <si>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</si>
  <si>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</si>
  <si>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</si>
  <si>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</si>
  <si>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</si>
  <si>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</si>
  <si>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</si>
  <si>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</si>
  <si>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</si>
  <si>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</si>
  <si>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</si>
  <si>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</si>
  <si>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</si>
  <si>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</si>
  <si>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</si>
  <si>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</si>
  <si>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</si>
  <si>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</si>
  <si>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</si>
  <si>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</si>
  <si>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</si>
  <si>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</si>
  <si>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</si>
  <si>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</si>
  <si>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</si>
  <si>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</si>
  <si>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</si>
  <si>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</si>
  <si>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</si>
  <si>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</si>
  <si>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</si>
  <si>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</si>
  <si>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</si>
  <si>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</si>
  <si>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</si>
  <si>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</si>
  <si>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</si>
  <si>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</si>
  <si>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</si>
  <si>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</si>
  <si>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</si>
  <si>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</si>
  <si>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</si>
  <si>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</si>
  <si>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</si>
  <si>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</si>
  <si>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</si>
  <si>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</si>
  <si>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</si>
  <si>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</si>
  <si>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</si>
  <si>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</si>
  <si>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</si>
  <si>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</si>
  <si>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</si>
  <si>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</si>
  <si>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</si>
  <si>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</si>
  <si>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</si>
  <si>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</si>
  <si>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</si>
  <si>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</si>
  <si>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</si>
  <si>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</si>
  <si>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</si>
  <si>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</si>
  <si>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</si>
  <si>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</si>
  <si>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</si>
  <si>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</si>
  <si>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</si>
  <si>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</si>
  <si>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</si>
  <si>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</si>
  <si>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</si>
  <si>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</si>
  <si>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</si>
  <si>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</si>
  <si>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</si>
  <si>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</si>
  <si>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</si>
  <si>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</si>
  <si>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</si>
  <si>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</si>
  <si>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</si>
  <si>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</si>
  <si>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</si>
  <si>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</si>
  <si>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</si>
  <si>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</si>
  <si>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</si>
  <si>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</si>
  <si>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</si>
  <si>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</si>
  <si>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</si>
  <si>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</si>
  <si>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</si>
  <si>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</si>
  <si>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</si>
  <si>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</si>
  <si>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</si>
  <si>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</si>
  <si>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</si>
  <si>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</si>
  <si>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</si>
  <si>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</si>
  <si>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</si>
  <si>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</si>
  <si>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</si>
  <si>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</si>
  <si>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</si>
  <si>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</si>
  <si>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</si>
  <si>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</si>
  <si>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</si>
  <si>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</si>
  <si>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</si>
  <si>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</si>
  <si>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</si>
  <si>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</si>
  <si>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</si>
  <si>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</si>
  <si>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</si>
  <si>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</si>
  <si>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</si>
  <si>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</si>
  <si>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</si>
  <si>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</si>
  <si>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</si>
  <si>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</si>
  <si>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</si>
  <si>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</si>
  <si>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</si>
  <si>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</si>
  <si>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</si>
  <si>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</si>
  <si>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</si>
  <si>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</si>
  <si>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</si>
  <si>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</si>
  <si>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</si>
  <si>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</si>
  <si>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</si>
  <si>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</si>
  <si>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</si>
  <si>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</si>
  <si>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</si>
  <si>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</si>
  <si>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</si>
  <si>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</si>
  <si>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</si>
  <si>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</si>
  <si>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</si>
  <si>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</si>
  <si>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</si>
  <si>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</si>
  <si>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</si>
  <si>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</si>
  <si>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</si>
  <si>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</si>
  <si>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</si>
  <si>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</si>
  <si>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</si>
  <si>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</si>
  <si>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</si>
  <si>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</si>
  <si>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</si>
  <si>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</si>
  <si>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</si>
  <si>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</si>
  <si>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</si>
  <si>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</si>
  <si>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</si>
  <si>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</si>
  <si>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</si>
  <si>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</si>
  <si>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</si>
  <si>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</si>
  <si>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</si>
  <si>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</si>
  <si>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</si>
  <si>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</si>
  <si>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</si>
  <si>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</si>
  <si>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</si>
  <si>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</si>
  <si>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</si>
  <si>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</si>
  <si>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</si>
  <si>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</si>
  <si>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</si>
  <si>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</si>
  <si>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</si>
  <si>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</si>
  <si>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</si>
  <si>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</si>
  <si>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</si>
  <si>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</si>
  <si>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</si>
  <si>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</si>
  <si>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</si>
  <si>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</si>
  <si>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</si>
  <si>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</si>
  <si>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</si>
  <si>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</si>
  <si>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</si>
  <si>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</si>
  <si>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</si>
  <si>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</si>
  <si>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</si>
  <si>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</si>
  <si>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</si>
  <si>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</si>
  <si>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</si>
  <si>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</si>
  <si>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</si>
  <si>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</si>
  <si>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</si>
  <si>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</si>
  <si>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</si>
  <si>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</si>
  <si>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</si>
  <si>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</si>
  <si>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</si>
  <si>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</si>
  <si>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</si>
  <si>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</si>
  <si>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</si>
  <si>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</si>
  <si>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</si>
  <si>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</si>
  <si>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</si>
  <si>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</si>
  <si>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</si>
  <si>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</si>
  <si>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</si>
  <si>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</si>
  <si>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</si>
  <si>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</si>
  <si>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</si>
  <si>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</si>
  <si>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</si>
  <si>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</si>
  <si>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</si>
  <si>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</si>
  <si>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</si>
  <si>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</si>
  <si>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</si>
  <si>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</si>
  <si>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</si>
  <si>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</si>
  <si>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</si>
  <si>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</si>
  <si>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</si>
  <si>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</si>
  <si>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</si>
  <si>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</si>
  <si>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</si>
  <si>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</si>
  <si>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</si>
  <si>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</si>
  <si>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</si>
  <si>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</si>
  <si>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</si>
  <si>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</si>
  <si>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</si>
  <si>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</si>
  <si>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</si>
  <si>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</si>
  <si>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</si>
  <si>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</si>
  <si>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</si>
  <si>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</si>
  <si>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</si>
  <si>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</si>
  <si>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</si>
  <si>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</si>
  <si>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</si>
  <si>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</si>
  <si>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</si>
  <si>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</si>
  <si>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</si>
  <si>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</si>
  <si>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</si>
  <si>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</si>
  <si>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</si>
  <si>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</si>
  <si>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</si>
  <si>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</si>
  <si>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</si>
  <si>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</si>
  <si>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</si>
  <si>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</si>
  <si>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</si>
  <si>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</si>
  <si>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</si>
  <si>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</si>
  <si>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</si>
  <si>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</si>
  <si>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</si>
  <si>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</si>
  <si>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</si>
  <si>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</si>
  <si>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</si>
  <si>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</si>
  <si>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</si>
  <si>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</si>
  <si>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</si>
  <si>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</si>
  <si>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</si>
  <si>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</si>
  <si>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</si>
  <si>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</si>
  <si>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</si>
  <si>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</si>
  <si>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</si>
  <si>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</si>
  <si>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</si>
  <si>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</si>
  <si>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</si>
  <si>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</si>
  <si>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</si>
  <si>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</si>
  <si>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</si>
  <si>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</si>
  <si>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</si>
  <si>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</si>
  <si>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</si>
  <si>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</si>
  <si>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</si>
  <si>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</si>
  <si>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</si>
  <si>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</si>
  <si>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</si>
  <si>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</si>
  <si>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</si>
  <si>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</si>
  <si>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</si>
  <si>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</si>
  <si>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</si>
  <si>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</si>
  <si>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</si>
  <si>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</si>
  <si>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</si>
  <si>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</si>
  <si>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</si>
  <si>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</si>
  <si>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</si>
  <si>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</si>
  <si>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</si>
  <si>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</si>
  <si>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</si>
  <si>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</si>
  <si>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</si>
  <si>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</si>
  <si>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</si>
  <si>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</si>
  <si>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</si>
  <si>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</si>
  <si>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</si>
  <si>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</si>
  <si>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</si>
  <si>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</si>
  <si>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</si>
  <si>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</si>
  <si>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</si>
  <si>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</si>
  <si>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</si>
  <si>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</si>
  <si>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</si>
  <si>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</si>
  <si>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</si>
  <si>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</si>
  <si>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</si>
  <si>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</si>
  <si>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</si>
  <si>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</si>
  <si>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</si>
  <si>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</si>
  <si>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</si>
  <si>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</si>
  <si>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</si>
  <si>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</si>
  <si>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</si>
  <si>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</si>
  <si>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</si>
  <si>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</si>
  <si>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</si>
  <si>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</si>
  <si>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</si>
  <si>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</si>
  <si>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</si>
  <si>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</si>
  <si>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</si>
  <si>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</si>
  <si>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</si>
  <si>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</si>
  <si>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</si>
  <si>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</si>
  <si>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</si>
  <si>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</si>
  <si>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</si>
  <si>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</si>
  <si>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</si>
  <si>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</si>
  <si>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</si>
  <si>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</si>
  <si>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</si>
  <si>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</si>
  <si>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</si>
  <si>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</si>
  <si>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</si>
  <si>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</si>
  <si>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</si>
  <si>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</si>
  <si>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</si>
  <si>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</si>
  <si>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</si>
  <si>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</si>
  <si>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</si>
  <si>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</si>
  <si>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</si>
  <si>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</si>
  <si>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</si>
  <si>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</si>
  <si>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</si>
  <si>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</si>
  <si>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</si>
  <si>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</si>
  <si>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</si>
  <si>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</si>
  <si>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</si>
  <si>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</si>
  <si>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</si>
  <si>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</si>
  <si>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</si>
  <si>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</si>
  <si>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</si>
  <si>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</si>
  <si>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</si>
  <si>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</si>
  <si>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</si>
  <si>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</si>
  <si>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</si>
  <si>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</si>
  <si>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</si>
  <si>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</si>
  <si>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</si>
  <si>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</si>
  <si>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</si>
  <si>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</si>
  <si>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</si>
  <si>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</si>
  <si>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</si>
  <si>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</si>
  <si>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</si>
  <si>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</si>
  <si>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</si>
  <si>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</si>
  <si>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</si>
  <si>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</si>
  <si>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</si>
  <si>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</si>
  <si>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</si>
  <si>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</si>
  <si>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</si>
  <si>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</si>
  <si>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</si>
  <si>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</si>
  <si>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</si>
  <si>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</si>
  <si>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</si>
  <si>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</si>
  <si>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</si>
  <si>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</si>
  <si>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</si>
  <si>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</si>
  <si>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</si>
  <si>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</si>
  <si>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</si>
  <si>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</si>
  <si>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</si>
  <si>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</si>
  <si>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</si>
  <si>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</si>
  <si>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</si>
  <si>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</si>
  <si>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</si>
  <si>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</si>
  <si>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</si>
  <si>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</si>
  <si>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</si>
  <si>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</si>
  <si>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</si>
  <si>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</si>
  <si>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</si>
  <si>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</si>
  <si>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</si>
  <si>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</si>
  <si>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</si>
  <si>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</si>
  <si>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</si>
  <si>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</si>
  <si>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</si>
  <si>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</si>
  <si>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</si>
  <si>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</si>
  <si>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</si>
  <si>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</si>
  <si>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</si>
  <si>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</si>
  <si>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</si>
  <si>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</si>
  <si>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</si>
  <si>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</si>
  <si>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</si>
  <si>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</si>
  <si>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</si>
  <si>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</si>
  <si>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</si>
  <si>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</si>
  <si>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</si>
  <si>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</si>
  <si>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</si>
  <si>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</si>
  <si>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</si>
  <si>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</si>
  <si>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</si>
  <si>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</si>
  <si>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</si>
  <si>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</si>
  <si>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</si>
  <si>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</si>
  <si>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</si>
  <si>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</si>
  <si>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</si>
  <si>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</si>
  <si>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</si>
  <si>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</si>
  <si>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</si>
  <si>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</si>
  <si>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</si>
  <si>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</si>
  <si>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</si>
  <si>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</si>
  <si>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</si>
  <si>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</si>
  <si>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</si>
  <si>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</si>
  <si>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</si>
  <si>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</si>
  <si>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</si>
  <si>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</si>
  <si>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</si>
  <si>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</si>
  <si>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</si>
  <si>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</si>
  <si>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</si>
  <si>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</si>
  <si>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</si>
  <si>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</si>
  <si>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</si>
  <si>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</si>
  <si>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</si>
  <si>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</si>
  <si>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</si>
  <si>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</si>
  <si>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</si>
  <si>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</si>
  <si>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</si>
  <si>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</si>
  <si>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</si>
  <si>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</si>
  <si>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</si>
  <si>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</si>
  <si>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</si>
  <si>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</si>
  <si>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</si>
  <si>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</si>
  <si>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</si>
  <si>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</si>
  <si>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</si>
  <si>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</si>
  <si>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</si>
  <si>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</si>
  <si>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</si>
  <si>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</si>
  <si>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</si>
  <si>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</si>
  <si>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</si>
  <si>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</si>
  <si>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</si>
  <si>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</si>
  <si>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</si>
  <si>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</si>
  <si>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</si>
  <si>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</si>
  <si>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</si>
  <si>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</si>
  <si>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</si>
  <si>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</si>
  <si>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</si>
  <si>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</si>
  <si>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</si>
  <si>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</si>
  <si>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</si>
  <si>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</si>
  <si>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</si>
  <si>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</si>
  <si>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</si>
  <si>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</si>
  <si>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</si>
  <si>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</si>
  <si>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</si>
  <si>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</si>
  <si>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</si>
  <si>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</si>
  <si>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</si>
  <si>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</si>
  <si>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</si>
  <si>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</si>
  <si>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</si>
  <si>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</si>
  <si>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</si>
  <si>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</si>
  <si>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</si>
  <si>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</si>
  <si>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</si>
  <si>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</si>
  <si>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</si>
  <si>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</si>
  <si>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</si>
  <si>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</si>
  <si>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</si>
  <si>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</si>
  <si>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</si>
  <si>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</si>
  <si>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</si>
  <si>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</si>
  <si>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</si>
  <si>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</si>
  <si>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</si>
  <si>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</si>
  <si>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</si>
  <si>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</si>
  <si>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</si>
  <si>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</si>
  <si>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</si>
  <si>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</si>
  <si>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</si>
  <si>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</si>
  <si>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</si>
  <si>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</si>
  <si>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</si>
  <si>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</si>
  <si>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</si>
  <si>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</si>
  <si>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</si>
  <si>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</si>
  <si>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</si>
  <si>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</si>
  <si>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</si>
  <si>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</si>
  <si>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</si>
  <si>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</si>
  <si>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</si>
  <si>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</si>
  <si>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</si>
  <si>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</si>
  <si>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</si>
  <si>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</si>
  <si>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</si>
  <si>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</si>
  <si>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</si>
  <si>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</si>
  <si>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</si>
  <si>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</si>
  <si>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</si>
  <si>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</si>
  <si>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</si>
  <si>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</si>
  <si>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</si>
  <si>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</si>
  <si>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</si>
  <si>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</si>
  <si>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</si>
  <si>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</si>
  <si>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</si>
  <si>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</si>
  <si>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</si>
  <si>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</si>
  <si>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</si>
  <si>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</si>
  <si>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</si>
  <si>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</si>
  <si>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</si>
  <si>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</si>
  <si>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</si>
  <si>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</si>
  <si>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</si>
  <si>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</si>
  <si>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</si>
  <si>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</si>
  <si>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</si>
  <si>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</si>
  <si>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</si>
  <si>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</si>
  <si>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</si>
  <si>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</si>
  <si>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</si>
  <si>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</si>
  <si>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</si>
  <si>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</si>
  <si>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</si>
  <si>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</si>
  <si>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</si>
  <si>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</si>
  <si>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</si>
  <si>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</si>
  <si>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</si>
  <si>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</si>
  <si>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</si>
  <si>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</si>
  <si>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</si>
  <si>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</si>
  <si>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</si>
  <si>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</si>
  <si>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</si>
  <si>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</si>
  <si>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</si>
  <si>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</si>
  <si>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</si>
  <si>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</si>
  <si>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</si>
  <si>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</si>
  <si>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</si>
  <si>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</si>
  <si>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</si>
  <si>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</si>
  <si>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</si>
  <si>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</si>
  <si>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</si>
  <si>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</si>
  <si>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</si>
  <si>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</si>
  <si>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</si>
  <si>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</si>
  <si>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</si>
  <si>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</si>
  <si>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</si>
  <si>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</si>
  <si>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</si>
  <si>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</si>
  <si>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</si>
  <si>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</si>
  <si>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</si>
  <si>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</si>
  <si>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</si>
  <si>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</si>
  <si>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</si>
  <si>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</si>
  <si>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</si>
  <si>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</si>
  <si>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</si>
  <si>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</si>
  <si>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</si>
  <si>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</si>
  <si>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</si>
  <si>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</si>
  <si>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</si>
  <si>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</si>
  <si>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</si>
  <si>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</si>
  <si>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</si>
  <si>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</si>
  <si>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</si>
  <si>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</si>
  <si>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</si>
  <si>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</si>
  <si>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</si>
  <si>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</si>
  <si>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</si>
  <si>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</si>
  <si>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</si>
  <si>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</si>
  <si>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</si>
  <si>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</si>
  <si>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</si>
  <si>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</si>
  <si>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</si>
  <si>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</si>
  <si>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</si>
  <si>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</si>
  <si>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</si>
  <si>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</si>
  <si>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</si>
  <si>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</si>
  <si>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</si>
  <si>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</si>
  <si>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</si>
  <si>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</si>
  <si>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</si>
  <si>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</si>
  <si>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</si>
  <si>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</si>
  <si>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</si>
  <si>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</si>
  <si>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</si>
  <si>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</si>
  <si>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</si>
  <si>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</si>
  <si>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</si>
  <si>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</si>
  <si>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</si>
  <si>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</si>
  <si>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</si>
  <si>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</si>
  <si>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</si>
  <si>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</si>
  <si>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</si>
  <si>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</si>
  <si>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</si>
  <si>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</si>
  <si>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</si>
  <si>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</si>
  <si>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</si>
  <si>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</si>
  <si>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</si>
  <si>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</si>
  <si>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</si>
  <si>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</si>
  <si>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</si>
  <si>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</si>
  <si>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</si>
  <si>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</si>
  <si>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</si>
  <si>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</si>
  <si>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</si>
  <si>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</si>
  <si>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</si>
  <si>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</si>
  <si>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</si>
  <si>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</si>
  <si>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</si>
  <si>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</si>
  <si>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</si>
  <si>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</si>
  <si>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</si>
  <si>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</si>
  <si>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</si>
  <si>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</si>
  <si>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</si>
  <si>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</si>
  <si>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</si>
  <si>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</si>
  <si>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Madera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</si>
  <si>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</si>
  <si>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</si>
  <si>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</si>
  <si>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</si>
  <si>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</si>
  <si>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</si>
  <si>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</si>
  <si>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Madera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</si>
</sst>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5" fillId="0" borderId="3" xfId="0" applyFont="1" applyBorder="1" applyAlignment="1">
      <alignment vertical="center" wrapText="1"/>
    </xf>
    <xf numFmtId="0" fontId="65" fillId="0" borderId="26" xfId="0" applyFont="1" applyBorder="1" applyAlignment="1">
      <alignment vertical="center" wrapText="1"/>
    </xf>
    <xf numFmtId="0" fontId="65" fillId="0" borderId="83" xfId="0" applyFont="1" applyBorder="1" applyAlignment="1">
      <alignment vertical="center"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21732</c:v>
                </c:pt>
                <c:pt idx="1">
                  <c:v>29281</c:v>
                </c:pt>
                <c:pt idx="2">
                  <c:v>43207</c:v>
                </c:pt>
                <c:pt idx="3">
                  <c:v>61416</c:v>
                </c:pt>
                <c:pt idx="4">
                  <c:v>66224</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0.34736793668323213</c:v>
                </c:pt>
                <c:pt idx="2">
                  <c:v>0.47559851097981626</c:v>
                </c:pt>
                <c:pt idx="3">
                  <c:v>0.42143634133358021</c:v>
                </c:pt>
                <c:pt idx="4">
                  <c:v>7.8285788719551913E-2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0.11038514442916093</c:v>
                </c:pt>
                <c:pt idx="1">
                  <c:v>0.1110729023383769</c:v>
                </c:pt>
                <c:pt idx="2">
                  <c:v>9.0784044016506193E-2</c:v>
                </c:pt>
                <c:pt idx="3">
                  <c:v>5.2269601100412656E-2</c:v>
                </c:pt>
                <c:pt idx="4">
                  <c:v>0.11176066024759285</c:v>
                </c:pt>
                <c:pt idx="5">
                  <c:v>4.5392022008253097E-2</c:v>
                </c:pt>
                <c:pt idx="6">
                  <c:v>6.2242090784044017E-2</c:v>
                </c:pt>
                <c:pt idx="7">
                  <c:v>3.5075653370013754E-2</c:v>
                </c:pt>
                <c:pt idx="8">
                  <c:v>5.5020632737276476E-2</c:v>
                </c:pt>
                <c:pt idx="9">
                  <c:v>4.7111416781292985E-2</c:v>
                </c:pt>
                <c:pt idx="10">
                  <c:v>7.2902338376891335E-2</c:v>
                </c:pt>
                <c:pt idx="11">
                  <c:v>9.8693259972489678E-2</c:v>
                </c:pt>
                <c:pt idx="12">
                  <c:v>3.1292984869325996E-2</c:v>
                </c:pt>
                <c:pt idx="13">
                  <c:v>4.0921595598349382E-2</c:v>
                </c:pt>
                <c:pt idx="14">
                  <c:v>1.7881705639614855E-2</c:v>
                </c:pt>
                <c:pt idx="15">
                  <c:v>1.7193947730398899E-2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Madera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321</c:v>
                      </c:pt>
                      <c:pt idx="1">
                        <c:v>323</c:v>
                      </c:pt>
                      <c:pt idx="2">
                        <c:v>264</c:v>
                      </c:pt>
                      <c:pt idx="3">
                        <c:v>152</c:v>
                      </c:pt>
                      <c:pt idx="4">
                        <c:v>325</c:v>
                      </c:pt>
                      <c:pt idx="5">
                        <c:v>132</c:v>
                      </c:pt>
                      <c:pt idx="6">
                        <c:v>181</c:v>
                      </c:pt>
                      <c:pt idx="7">
                        <c:v>102</c:v>
                      </c:pt>
                      <c:pt idx="8">
                        <c:v>160</c:v>
                      </c:pt>
                      <c:pt idx="9">
                        <c:v>137</c:v>
                      </c:pt>
                      <c:pt idx="10">
                        <c:v>212</c:v>
                      </c:pt>
                      <c:pt idx="11">
                        <c:v>287</c:v>
                      </c:pt>
                      <c:pt idx="12">
                        <c:v>91</c:v>
                      </c:pt>
                      <c:pt idx="13">
                        <c:v>119</c:v>
                      </c:pt>
                      <c:pt idx="14">
                        <c:v>52</c:v>
                      </c:pt>
                      <c:pt idx="15">
                        <c:v>50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Madera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3.7</c:v>
                </c:pt>
                <c:pt idx="1">
                  <c:v>3.73</c:v>
                </c:pt>
                <c:pt idx="2">
                  <c:v>3.68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3.35</c:v>
                </c:pt>
                <c:pt idx="2">
                  <c:v>3.32</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2.5632809996795899E-2"/>
                  <c:y val="3.9279869067103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B4-487A-A6A7-C32420CF12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7359</c:v>
                </c:pt>
                <c:pt idx="1">
                  <c:v>9159</c:v>
                </c:pt>
                <c:pt idx="2">
                  <c:v>11978</c:v>
                </c:pt>
                <c:pt idx="3">
                  <c:v>15938</c:v>
                </c:pt>
                <c:pt idx="4">
                  <c:v>17598</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0.24459845087647777</c:v>
                </c:pt>
                <c:pt idx="2">
                  <c:v>0.30778469265203623</c:v>
                </c:pt>
                <c:pt idx="3">
                  <c:v>0.33060611120387379</c:v>
                </c:pt>
                <c:pt idx="4">
                  <c:v>0.10415359518132765</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0.54585748380497778</c:v>
                </c:pt>
                <c:pt idx="1">
                  <c:v>0.58668135524629605</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8.8475963177633815E-2</c:v>
                </c:pt>
                <c:pt idx="1">
                  <c:v>7.3607769958856983E-2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0.24877827025798385</c:v>
                </c:pt>
                <c:pt idx="1">
                  <c:v>0.21144809910294746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0.11688828275940448</c:v>
                </c:pt>
                <c:pt idx="1">
                  <c:v>0.12826277569189956</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0.31685418797590637</c:v>
                      </c:pt>
                      <c:pt idx="1">
                        <c:v>0.25773960745520358</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0.22900329582907147</c:v>
                      </c:pt>
                      <c:pt idx="1">
                        <c:v>0.32894174779109242</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5.676781452437777E-2</c:v>
                      </c:pt>
                      <c:pt idx="1">
                        <c:v>4.0828256030935949E-2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3.1708148653256052E-2</c:v>
                      </c:pt>
                      <c:pt idx="1">
                        <c:v>3.2779513927921042E-2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8.1202409364700537E-2</c:v>
                      </c:pt>
                      <c:pt idx="1">
                        <c:v>9.3392387418781891E-2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8.648710080690987E-2</c:v>
                      </c:pt>
                      <c:pt idx="1">
                        <c:v>5.34634321814789E-2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7.3531083077622461E-2</c:v>
                      </c:pt>
                      <c:pt idx="1">
                        <c:v>5.5846579284606221E-2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7.5576770087509943E-3</c:v>
                      </c:pt>
                      <c:pt idx="1">
                        <c:v>8.7457002180804429E-3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6.05182407091715E-2</c:v>
                      </c:pt>
                      <c:pt idx="1">
                        <c:v>7.2708469165224041E-2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1.261506989430617E-2</c:v>
                      </c:pt>
                      <c:pt idx="1">
                        <c:v>1.2387868432293891E-2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3.0344357313331061E-2</c:v>
                      </c:pt>
                      <c:pt idx="1">
                        <c:v>3.050877942399784E-2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1.341061484259575E-2</c:v>
                      </c:pt>
                      <c:pt idx="1">
                        <c:v>1.2657658670383777E-2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Madera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0.2673338098641887</c:v>
                </c:pt>
                <c:pt idx="1">
                  <c:v>0.33284724753919065</c:v>
                </c:pt>
                <c:pt idx="2">
                  <c:v>0.30570839064649241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0.16668511344770337</c:v>
                </c:pt>
                <c:pt idx="1">
                  <c:v>0.18291092061125605</c:v>
                </c:pt>
                <c:pt idx="2">
                  <c:v>0.15243395912942348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748</c:v>
                      </c:pt>
                      <c:pt idx="1">
                        <c:v>913</c:v>
                      </c:pt>
                      <c:pt idx="2" formatCode="#,##0">
                        <c:v>889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1506</c:v>
                      </c:pt>
                      <c:pt idx="1">
                        <c:v>1963</c:v>
                      </c:pt>
                      <c:pt idx="2" formatCode="#,##0">
                        <c:v>1835</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0.13188998749857939</c:v>
                </c:pt>
                <c:pt idx="1">
                  <c:v>8.9044209569269242E-2</c:v>
                </c:pt>
                <c:pt idx="2">
                  <c:v>6.705307421297875E-2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0.10699431192248027</c:v>
                </c:pt>
                <c:pt idx="1">
                  <c:v>5.9263922300411429E-2</c:v>
                </c:pt>
                <c:pt idx="2">
                  <c:v>5.5329481328267274E-2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2321</c:v>
                      </c:pt>
                      <c:pt idx="1">
                        <c:v>1567</c:v>
                      </c:pt>
                      <c:pt idx="2">
                        <c:v>1180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4759</c:v>
                      </c:pt>
                      <c:pt idx="1">
                        <c:v>2636</c:v>
                      </c:pt>
                      <c:pt idx="2">
                        <c:v>2461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0.17746105820773161</c:v>
                </c:pt>
                <c:pt idx="1">
                  <c:v>0.1799773688285391</c:v>
                </c:pt>
                <c:pt idx="2">
                  <c:v>0.14172065007387202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0.20798385571041178</c:v>
                </c:pt>
                <c:pt idx="1">
                  <c:v>0.2070156631528795</c:v>
                </c:pt>
                <c:pt idx="2">
                  <c:v>0.20928514603932266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0.17292047676105191</c:v>
                </c:pt>
                <c:pt idx="1">
                  <c:v>0.14472038592102912</c:v>
                </c:pt>
                <c:pt idx="2">
                  <c:v>0.18286168882827594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0.18282146686006179</c:v>
                </c:pt>
                <c:pt idx="1">
                  <c:v>0.20725388601036271</c:v>
                </c:pt>
                <c:pt idx="2">
                  <c:v>0.17814524377770202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0.12631645330138111</c:v>
                </c:pt>
                <c:pt idx="1">
                  <c:v>0.14239771306056814</c:v>
                </c:pt>
                <c:pt idx="2">
                  <c:v>0.13188998749857939</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6.4766349246389604E-2</c:v>
                </c:pt>
                <c:pt idx="1">
                  <c:v>7.4444642963492347E-2</c:v>
                </c:pt>
                <c:pt idx="2">
                  <c:v>8.9044209569269242E-2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6.7730339912972184E-2</c:v>
                </c:pt>
                <c:pt idx="1">
                  <c:v>4.4190340063129052E-2</c:v>
                </c:pt>
                <c:pt idx="2">
                  <c:v>6.705307421297875E-2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0.50961720375859243</c:v>
                      </c:pt>
                      <c:pt idx="1">
                        <c:v>0.47739860639628373</c:v>
                      </c:pt>
                      <c:pt idx="2">
                        <c:v>0.50625071030798952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8.3811565869962787E-2</c:v>
                      </c:pt>
                      <c:pt idx="1">
                        <c:v>7.9864212971234597E-2</c:v>
                      </c:pt>
                      <c:pt idx="2">
                        <c:v>7.3928855551767245E-2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0.14775808791070189</c:v>
                      </c:pt>
                      <c:pt idx="1">
                        <c:v>0.13316657733309512</c:v>
                      </c:pt>
                      <c:pt idx="2">
                        <c:v>0.12416183657233777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8.9235038153496885E-2</c:v>
                      </c:pt>
                      <c:pt idx="1">
                        <c:v>6.2116610088738013E-2</c:v>
                      </c:pt>
                      <c:pt idx="2">
                        <c:v>9.7454256165473346E-2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8.5955729330894876E-2</c:v>
                      </c:pt>
                      <c:pt idx="1">
                        <c:v>8.6236674408909531E-2</c:v>
                      </c:pt>
                      <c:pt idx="2">
                        <c:v>9.0180702352540068E-2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4.6793214353282465E-2</c:v>
                      </c:pt>
                      <c:pt idx="1">
                        <c:v>6.884640581263772E-2</c:v>
                      </c:pt>
                      <c:pt idx="2">
                        <c:v>5.994999431753608E-2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3.1847133757961783E-2</c:v>
                      </c:pt>
                      <c:pt idx="1">
                        <c:v>3.2636531475195046E-2</c:v>
                      </c:pt>
                      <c:pt idx="2">
                        <c:v>3.0344357313331061E-2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2.4216434382291731E-2</c:v>
                      </c:pt>
                      <c:pt idx="1">
                        <c:v>1.4531594306473706E-2</c:v>
                      </c:pt>
                      <c:pt idx="2">
                        <c:v>3.0230708035003977E-2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0.49038279624140757</c:v>
                      </c:pt>
                      <c:pt idx="1">
                        <c:v>0.52260139360371627</c:v>
                      </c:pt>
                      <c:pt idx="2">
                        <c:v>0.49374928969201043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9.3649492337768814E-2</c:v>
                      </c:pt>
                      <c:pt idx="1">
                        <c:v>0.10011315585730451</c:v>
                      </c:pt>
                      <c:pt idx="2">
                        <c:v>6.7791794522104779E-2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6.0225767799709909E-2</c:v>
                      </c:pt>
                      <c:pt idx="1">
                        <c:v>7.3849085819784402E-2</c:v>
                      </c:pt>
                      <c:pt idx="2">
                        <c:v>8.5123309466984889E-2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8.3685438607555021E-2</c:v>
                      </c:pt>
                      <c:pt idx="1">
                        <c:v>8.2603775832291101E-2</c:v>
                      </c:pt>
                      <c:pt idx="2">
                        <c:v>8.5407432662802596E-2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9.6865737529166926E-2</c:v>
                      </c:pt>
                      <c:pt idx="1">
                        <c:v>0.12101721160145316</c:v>
                      </c:pt>
                      <c:pt idx="2">
                        <c:v>8.7964541425161955E-2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7.9523238948098637E-2</c:v>
                      </c:pt>
                      <c:pt idx="1">
                        <c:v>7.3551307247930436E-2</c:v>
                      </c:pt>
                      <c:pt idx="2">
                        <c:v>7.1939993181043299E-2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3.2919215488427821E-2</c:v>
                      </c:pt>
                      <c:pt idx="1">
                        <c:v>4.18081114882973E-2</c:v>
                      </c:pt>
                      <c:pt idx="2">
                        <c:v>5.8699852255938177E-2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4.3513905530680456E-2</c:v>
                      </c:pt>
                      <c:pt idx="1">
                        <c:v>2.965874575665535E-2</c:v>
                      </c:pt>
                      <c:pt idx="2">
                        <c:v>3.6822366177974769E-2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4.7008547008547008E-2"/>
                  <c:y val="-8.3195494132584457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AD-432E-BEA5-328CBA9EDB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1298</c:v>
                </c:pt>
                <c:pt idx="1">
                  <c:v>1057</c:v>
                </c:pt>
                <c:pt idx="2">
                  <c:v>1233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-0.18567026194144839</c:v>
                </c:pt>
                <c:pt idx="2">
                  <c:v>0.16650898770104069</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Madera</c:v>
                </c:pt>
                <c:pt idx="1">
                  <c:v>Madera County</c:v>
                </c:pt>
                <c:pt idx="2">
                  <c:v>California</c:v>
                </c:pt>
              </c:strCache>
            </c:strRef>
          </c:cat>
          <c:val>
            <c:numRef>
              <c:f>(Households!$B$316,Households!$D$316,Households!$F$316)</c:f>
              <c:numCache>
                <c:formatCode>0.0%</c:formatCode>
                <c:ptCount val="3"/>
                <c:pt idx="0">
                  <c:v>0.19</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216</c:v>
                </c:pt>
                <c:pt idx="1">
                  <c:v>412</c:v>
                </c:pt>
                <c:pt idx="2">
                  <c:v>527</c:v>
                </c:pt>
                <c:pt idx="3">
                  <c:v>841</c:v>
                </c:pt>
                <c:pt idx="4">
                  <c:v>1079</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2.4101998982495057E-2"/>
                  <c:y val="-4.409076865925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4C-459A-A099-4343D7BC08B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0.90740740740740744</c:v>
                </c:pt>
                <c:pt idx="2">
                  <c:v>0.279126213592233</c:v>
                </c:pt>
                <c:pt idx="3">
                  <c:v>0.59582542694497154</c:v>
                </c:pt>
                <c:pt idx="4">
                  <c:v>0.28299643281807374</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29274</c:v>
                </c:pt>
                <c:pt idx="1">
                  <c:v>47103</c:v>
                </c:pt>
                <c:pt idx="2">
                  <c:v>53471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10859</c:v>
                </c:pt>
                <c:pt idx="1">
                  <c:v>10402</c:v>
                </c:pt>
                <c:pt idx="2">
                  <c:v>8075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1426</c:v>
                </c:pt>
                <c:pt idx="1">
                  <c:v>1661</c:v>
                </c:pt>
                <c:pt idx="2">
                  <c:v>1481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370</c:v>
                </c:pt>
                <c:pt idx="1">
                  <c:v>335</c:v>
                </c:pt>
                <c:pt idx="2">
                  <c:v>359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582</c:v>
                </c:pt>
                <c:pt idx="1">
                  <c:v>1199</c:v>
                </c:pt>
                <c:pt idx="2">
                  <c:v>1650</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30</c:v>
                </c:pt>
                <c:pt idx="1">
                  <c:v>35</c:v>
                </c:pt>
                <c:pt idx="2">
                  <c:v>37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615</c:v>
                </c:pt>
                <c:pt idx="1">
                  <c:v>631</c:v>
                </c:pt>
                <c:pt idx="2">
                  <c:v>870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Madera</c:v>
                </c:pt>
                <c:pt idx="1">
                  <c:v>Madera County</c:v>
                </c:pt>
                <c:pt idx="2">
                  <c:v>California</c:v>
                </c:pt>
              </c:strCache>
            </c:strRef>
          </c:cat>
          <c:val>
            <c:numRef>
              <c:f>(Households!$B$368,Households!$D$368,Households!$F$368)</c:f>
              <c:numCache>
                <c:formatCode>0.0%</c:formatCode>
                <c:ptCount val="3"/>
                <c:pt idx="0">
                  <c:v>0.33100000000000002</c:v>
                </c:pt>
                <c:pt idx="1">
                  <c:v>0.30299999999999999</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722</c:v>
                </c:pt>
                <c:pt idx="1">
                  <c:v>1611</c:v>
                </c:pt>
                <c:pt idx="2">
                  <c:v>2115</c:v>
                </c:pt>
                <c:pt idx="3">
                  <c:v>3482</c:v>
                </c:pt>
                <c:pt idx="4">
                  <c:v>3804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4706068640926348E-2"/>
                  <c:y val="-4.1973494388418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1.2313019390581716</c:v>
                </c:pt>
                <c:pt idx="2">
                  <c:v>0.31284916201117319</c:v>
                </c:pt>
                <c:pt idx="3">
                  <c:v>0.64633569739952723</c:v>
                </c:pt>
                <c:pt idx="4">
                  <c:v>9.2475588742102238E-2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376</c:v>
                </c:pt>
                <c:pt idx="1">
                  <c:v>575</c:v>
                </c:pt>
                <c:pt idx="2">
                  <c:v>1382</c:v>
                </c:pt>
                <c:pt idx="3">
                  <c:v>2863</c:v>
                </c:pt>
                <c:pt idx="4">
                  <c:v>1754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3.1250084124099874E-2"/>
                  <c:y val="-8.488089067441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0.5292553191489362</c:v>
                </c:pt>
                <c:pt idx="2">
                  <c:v>1.4034782608695653</c:v>
                </c:pt>
                <c:pt idx="3">
                  <c:v>1.0716353111432706</c:v>
                </c:pt>
                <c:pt idx="4">
                  <c:v>-0.38735592036325533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0.32640475102786659</c:v>
                </c:pt>
                <c:pt idx="1">
                  <c:v>0.44167995746943117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0.34764732754682504</c:v>
                </c:pt>
                <c:pt idx="1">
                  <c:v>0.2528442317916002</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0.29556875285518502</c:v>
                </c:pt>
                <c:pt idx="1">
                  <c:v>0.26411483253588519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3.0379168570123342E-2</c:v>
                </c:pt>
                <c:pt idx="1">
                  <c:v>4.1360978203083466E-2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Madera</c:v>
                      </c:pt>
                      <c:pt idx="1">
                        <c:v>Madera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0.74600456621004563</c:v>
                </c:pt>
                <c:pt idx="1">
                  <c:v>0.4130317716747442</c:v>
                </c:pt>
                <c:pt idx="2">
                  <c:v>0.57467442504848987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0.13584474885844749</c:v>
                </c:pt>
                <c:pt idx="1">
                  <c:v>0.29186860527732905</c:v>
                </c:pt>
                <c:pt idx="2">
                  <c:v>0.21612635078969245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0.11015981735159817</c:v>
                </c:pt>
                <c:pt idx="1">
                  <c:v>0.27032848680667743</c:v>
                </c:pt>
                <c:pt idx="2">
                  <c:v>0.19257412025491827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7.9908675799086754E-3</c:v>
                </c:pt>
                <c:pt idx="1">
                  <c:v>2.4771136241249325E-2</c:v>
                </c:pt>
                <c:pt idx="2">
                  <c:v>1.6625103906899419E-2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0.53550863723608444</c:v>
                </c:pt>
                <c:pt idx="1">
                  <c:v>0.73672055427251737</c:v>
                </c:pt>
                <c:pt idx="2">
                  <c:v>0.67912087912087915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0.28790786948176583</c:v>
                </c:pt>
                <c:pt idx="1">
                  <c:v>0.38645111624326406</c:v>
                </c:pt>
                <c:pt idx="2">
                  <c:v>0.35824175824175825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972</c:v>
                </c:pt>
                <c:pt idx="1">
                  <c:v>949</c:v>
                </c:pt>
                <c:pt idx="2">
                  <c:v>1137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1051</c:v>
                </c:pt>
                <c:pt idx="1">
                  <c:v>1003</c:v>
                </c:pt>
                <c:pt idx="2">
                  <c:v>1153</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9.0080060998856265E-2</c:v>
                </c:pt>
                <c:pt idx="1">
                  <c:v>7.3009459676126348E-2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9.8696149447197873E-2</c:v>
                </c:pt>
                <c:pt idx="1">
                  <c:v>7.7979797979797982E-2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9.2931757529546327E-2</c:v>
                </c:pt>
                <c:pt idx="1">
                  <c:v>7.9063652396985734E-2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2.0297369424323294E-2</c:v>
                </c:pt>
                <c:pt idx="1">
                  <c:v>1.5693442360109028E-2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4.6862371330537556E-2</c:v>
                </c:pt>
                <c:pt idx="1">
                  <c:v>4.0115440115440118E-2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7.5791078917270299E-2</c:v>
                </c:pt>
                <c:pt idx="1">
                  <c:v>7.2271925605258941E-2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7.5425085779641632E-2</c:v>
                </c:pt>
                <c:pt idx="1">
                  <c:v>6.7288760622093963E-2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4.8844834159359515E-2</c:v>
                </c:pt>
                <c:pt idx="1">
                  <c:v>4.4316177649510985E-2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2.9142203583682805E-2</c:v>
                </c:pt>
                <c:pt idx="1">
                  <c:v>2.7198973865640533E-2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1.0751048417842166E-2</c:v>
                </c:pt>
                <c:pt idx="1">
                  <c:v>1.4167067500400834E-2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58000</c:v>
                </c:pt>
                <c:pt idx="1">
                  <c:v>45462</c:v>
                </c:pt>
                <c:pt idx="2">
                  <c:v>102609</c:v>
                </c:pt>
                <c:pt idx="3">
                  <c:v>0</c:v>
                </c:pt>
                <c:pt idx="4">
                  <c:v>0</c:v>
                </c:pt>
                <c:pt idx="5">
                  <c:v>43169</c:v>
                </c:pt>
                <c:pt idx="6">
                  <c:v>77651</c:v>
                </c:pt>
                <c:pt idx="7">
                  <c:v>49222</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71001</c:v>
                </c:pt>
                <c:pt idx="1">
                  <c:v>45431</c:v>
                </c:pt>
                <c:pt idx="2">
                  <c:v>64342</c:v>
                </c:pt>
                <c:pt idx="3">
                  <c:v>60104</c:v>
                </c:pt>
                <c:pt idx="4">
                  <c:v>0</c:v>
                </c:pt>
                <c:pt idx="5">
                  <c:v>48428</c:v>
                </c:pt>
                <c:pt idx="6">
                  <c:v>77847</c:v>
                </c:pt>
                <c:pt idx="7">
                  <c:v>52667</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12490</c:v>
                </c:pt>
                <c:pt idx="1">
                  <c:v>13361</c:v>
                </c:pt>
                <c:pt idx="2">
                  <c:v>14271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2665</c:v>
                      </c:pt>
                      <c:pt idx="1">
                        <c:v>3397</c:v>
                      </c:pt>
                      <c:pt idx="2">
                        <c:v>3047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0.2133706965572458</c:v>
                      </c:pt>
                      <c:pt idx="1">
                        <c:v>0.25424743656911908</c:v>
                      </c:pt>
                      <c:pt idx="2">
                        <c:v>0.21350991521266904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6.9735788630904724E-2</c:v>
                </c:pt>
                <c:pt idx="2">
                  <c:v>6.8108674500411651E-2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6.7583046964490259E-2</c:v>
                </c:pt>
                <c:pt idx="1">
                  <c:v>0.22013274336283187</c:v>
                </c:pt>
                <c:pt idx="2">
                  <c:v>0.11009174311926606</c:v>
                </c:pt>
                <c:pt idx="3">
                  <c:v>0.46332046332046334</c:v>
                </c:pt>
                <c:pt idx="4">
                  <c:v>0</c:v>
                </c:pt>
                <c:pt idx="5">
                  <c:v>0.31091180866965618</c:v>
                </c:pt>
                <c:pt idx="6">
                  <c:v>5.8892815076560662E-3</c:v>
                </c:pt>
                <c:pt idx="7">
                  <c:v>0.24719752609199847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177</c:v>
                      </c:pt>
                      <c:pt idx="1">
                        <c:v>199</c:v>
                      </c:pt>
                      <c:pt idx="2">
                        <c:v>12</c:v>
                      </c:pt>
                      <c:pt idx="3">
                        <c:v>120</c:v>
                      </c:pt>
                      <c:pt idx="4">
                        <c:v>0</c:v>
                      </c:pt>
                      <c:pt idx="5">
                        <c:v>1456</c:v>
                      </c:pt>
                      <c:pt idx="6">
                        <c:v>5</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0.71781994813320704</c:v>
                </c:pt>
                <c:pt idx="1">
                  <c:v>0.74665674761322776</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0.17000782118305685</c:v>
                </c:pt>
                <c:pt idx="1">
                  <c:v>0.13992950387020209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6.8744082657555671E-3</c:v>
                </c:pt>
                <c:pt idx="1">
                  <c:v>3.9676213755601613E-3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1.45309348371959E-2</c:v>
                </c:pt>
                <c:pt idx="1">
                  <c:v>2.1184264130223E-2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5.775326225661713E-2</c:v>
                </c:pt>
                <c:pt idx="1">
                  <c:v>3.8861434365977651E-2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3.3013625324167455E-2</c:v>
                </c:pt>
                <c:pt idx="1">
                  <c:v>4.9400428644809327E-2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0.88782776931626395</c:v>
                      </c:pt>
                      <c:pt idx="1">
                        <c:v>0.88658625148342984</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8.8626353270489441E-2</c:v>
                      </c:pt>
                      <c:pt idx="1">
                        <c:v>9.0723913775085457E-2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3.2025686411723542E-2</c:v>
                      </c:pt>
                      <c:pt idx="1">
                        <c:v>2.284924810032414E-2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2.3051907957024657E-2</c:v>
                      </c:pt>
                      <c:pt idx="1">
                        <c:v>1.2859344279717307E-2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1.8770839336434364E-2</c:v>
                      </c:pt>
                      <c:pt idx="1">
                        <c:v>1.0096179393166481E-2</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7.5330342073848438E-3</c:v>
                      </c:pt>
                      <c:pt idx="1">
                        <c:v>3.4008183219087092E-3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6.4216029308854401E-3</c:v>
                      </c:pt>
                      <c:pt idx="1">
                        <c:v>3.0111412225233363E-3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4.528053348701272E-4</c:v>
                      </c:pt>
                      <c:pt idx="1">
                        <c:v>1.9483854969268646E-4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1.4170076341286288E-4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6.1994083993127517E-4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3.8613458030005137E-3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3.8694274070719958E-3</c:v>
                      </c:pt>
                      <c:pt idx="1">
                        <c:v>2.036948474059904E-3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1.0661507430123904E-2</c:v>
                      </c:pt>
                      <c:pt idx="1">
                        <c:v>1.9147315656163098E-2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5.775326225661713E-2</c:v>
                      </c:pt>
                      <c:pt idx="1">
                        <c:v>3.5000088562977136E-2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c:v>
                </c:pt>
                <c:pt idx="1">
                  <c:v>0.41920000000000002</c:v>
                </c:pt>
                <c:pt idx="2">
                  <c:v>0.42020000000000002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-1.9047619047618271E-3</c:v>
                </c:pt>
                <c:pt idx="2">
                  <c:v>2.3854961832061091E-3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CD-47DC-A28B-2F1E95344F23}"/>
                </c:ext>
              </c:extLst>
            </c:dLbl>
            <c:dLbl>
              <c:idx val="1"/>
              <c:layout>
                <c:manualLayout>
                  <c:x val="-4.2068348954967694E-2"/>
                  <c:y val="-4.5517585594510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CD-47DC-A28B-2F1E95344F23}"/>
                </c:ext>
              </c:extLst>
            </c:dLbl>
            <c:dLbl>
              <c:idx val="2"/>
              <c:layout>
                <c:manualLayout>
                  <c:x val="-4.2068348954967694E-2"/>
                  <c:y val="-3.0844810797717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CD-47DC-A28B-2F1E9534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0.33299999999999996</c:v>
                </c:pt>
                <c:pt idx="1">
                  <c:v>0.32500000000000001</c:v>
                </c:pt>
                <c:pt idx="2">
                  <c:v>0.33100000000000002</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0.27600000000000002</c:v>
                </c:pt>
                <c:pt idx="1">
                  <c:v>0.22899999999999998</c:v>
                </c:pt>
                <c:pt idx="2">
                  <c:v>0.19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9938803167407068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CD-47DC-A28B-2F1E95344F23}"/>
                </c:ext>
              </c:extLst>
            </c:dLbl>
            <c:dLbl>
              <c:idx val="1"/>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CD-47DC-A28B-2F1E95344F23}"/>
                </c:ext>
              </c:extLst>
            </c:dLbl>
            <c:dLbl>
              <c:idx val="2"/>
              <c:layout>
                <c:manualLayout>
                  <c:x val="-4.2068348954967694E-2"/>
                  <c:y val="-4.0324612289181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CD-47DC-A28B-2F1E9534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0.31900000000000001</c:v>
                </c:pt>
                <c:pt idx="1">
                  <c:v>0.27100000000000002</c:v>
                </c:pt>
                <c:pt idx="2">
                  <c:v>0.215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0.12300000000000001</c:v>
                </c:pt>
                <c:pt idx="1">
                  <c:v>0.1</c:v>
                </c:pt>
                <c:pt idx="2">
                  <c:v>0.111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0.33157379421906263</c:v>
                </c:pt>
                <c:pt idx="1">
                  <c:v>0.3190355519117537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0.30948022646971179</c:v>
                </c:pt>
                <c:pt idx="1">
                  <c:v>0.30481851382574343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0.1202162530330765</c:v>
                </c:pt>
                <c:pt idx="1">
                  <c:v>0.11371767161064321</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1.9283981099144355E-2</c:v>
                      </c:pt>
                      <c:pt idx="1">
                        <c:v>3.6763061787284786E-2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0.16082755097696991</c:v>
                      </c:pt>
                      <c:pt idx="1">
                        <c:v>0.13825743459789819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0.15146226214294836</c:v>
                      </c:pt>
                      <c:pt idx="1">
                        <c:v>0.14401505552657076</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0.23872972627814909</c:v>
                      </c:pt>
                      <c:pt idx="1">
                        <c:v>0.26242826265185959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0.10327359414243753</c:v>
                      </c:pt>
                      <c:pt idx="1">
                        <c:v>0.10056271893865991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0.10314588565833724</c:v>
                      </c:pt>
                      <c:pt idx="1">
                        <c:v>0.1093388984124618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3.2310246477374314E-2</c:v>
                      </c:pt>
                      <c:pt idx="1">
                        <c:v>5.2526645300737869E-2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0.14358690562343024</c:v>
                      </c:pt>
                      <c:pt idx="1">
                        <c:v>0.13697175225460237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3.1927121025073432E-2</c:v>
                      </c:pt>
                      <c:pt idx="1">
                        <c:v>2.8396810017142431E-2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5.6021455025328848E-2</c:v>
                      </c:pt>
                      <c:pt idx="1">
                        <c:v>4.9172691361705302E-2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7.7944744795879276E-2</c:v>
                      </c:pt>
                      <c:pt idx="1">
                        <c:v>9.027726019229336E-2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7.3602656336469285E-2</c:v>
                      </c:pt>
                      <c:pt idx="1">
                        <c:v>6.5961094134307216E-2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4.661359669660721E-2</c:v>
                      </c:pt>
                      <c:pt idx="1">
                        <c:v>4.7756577476335993E-2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0.38963630144795347</c:v>
                </c:pt>
                <c:pt idx="1">
                  <c:v>0.35594635205075409</c:v>
                </c:pt>
                <c:pt idx="2">
                  <c:v>0.33157379421906263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A2-4758-B4B3-D4D7FEDDF1E2}"/>
                </c:ext>
              </c:extLst>
            </c:dLbl>
            <c:dLbl>
              <c:idx val="1"/>
              <c:layout>
                <c:manualLayout>
                  <c:x val="-4.7628198746430997E-2"/>
                  <c:y val="1.980395093705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A2-4758-B4B3-D4D7FEDDF1E2}"/>
                </c:ext>
              </c:extLst>
            </c:dLbl>
            <c:dLbl>
              <c:idx val="2"/>
              <c:layout>
                <c:manualLayout>
                  <c:x val="-4.5425486045034547E-2"/>
                  <c:y val="2.3399778757491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A2-4758-B4B3-D4D7FEDDF1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0.26895450917797287</c:v>
                </c:pt>
                <c:pt idx="1">
                  <c:v>0.26718236963659636</c:v>
                </c:pt>
                <c:pt idx="2">
                  <c:v>0.23872972627814909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A2-4758-B4B3-D4D7FEDDF1E2}"/>
                </c:ext>
              </c:extLst>
            </c:dLbl>
            <c:dLbl>
              <c:idx val="1"/>
              <c:layout>
                <c:manualLayout>
                  <c:x val="-3.6614635239448745E-2"/>
                  <c:y val="3.0591434398368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A2-4758-B4B3-D4D7FEDDF1E2}"/>
                </c:ext>
              </c:extLst>
            </c:dLbl>
            <c:dLbl>
              <c:idx val="2"/>
              <c:layout>
                <c:manualLayout>
                  <c:x val="-4.3222773343638096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A2-4758-B4B3-D4D7FEDDF1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0.25624216166913694</c:v>
                </c:pt>
                <c:pt idx="1">
                  <c:v>0.31660081251043459</c:v>
                </c:pt>
                <c:pt idx="2">
                  <c:v>0.30948022646971179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8.5167027704936726E-2</c:v>
                </c:pt>
                <c:pt idx="1">
                  <c:v>6.0270465802214929E-2</c:v>
                </c:pt>
                <c:pt idx="2">
                  <c:v>0.1202162530330765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2.4455592292783036E-2</c:v>
                      </c:pt>
                      <c:pt idx="1">
                        <c:v>1.5025877900829206E-2</c:v>
                      </c:pt>
                      <c:pt idx="2">
                        <c:v>1.9283981099144355E-2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0.14063390719416258</c:v>
                      </c:pt>
                      <c:pt idx="1">
                        <c:v>0.12221047359341088</c:v>
                      </c:pt>
                      <c:pt idx="2">
                        <c:v>0.16082755097696991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0.22454680196100787</c:v>
                      </c:pt>
                      <c:pt idx="1">
                        <c:v>0.21871000055651399</c:v>
                      </c:pt>
                      <c:pt idx="2">
                        <c:v>0.15146226214294836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0.13863869570174439</c:v>
                      </c:pt>
                      <c:pt idx="1">
                        <c:v>0.16500639991095775</c:v>
                      </c:pt>
                      <c:pt idx="2">
                        <c:v>0.10327359414243753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9.046858967050507E-2</c:v>
                      </c:pt>
                      <c:pt idx="1">
                        <c:v>8.6092715231788075E-2</c:v>
                      </c:pt>
                      <c:pt idx="2">
                        <c:v>0.10314588565833724</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3.9847223805723406E-2</c:v>
                      </c:pt>
                      <c:pt idx="1">
                        <c:v>1.6083254493850521E-2</c:v>
                      </c:pt>
                      <c:pt idx="2">
                        <c:v>3.2310246477374314E-2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0.13943678029871168</c:v>
                      </c:pt>
                      <c:pt idx="1">
                        <c:v>0.1966720463019645</c:v>
                      </c:pt>
                      <c:pt idx="2">
                        <c:v>0.14358690562343024</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2.2460380800364839E-2</c:v>
                      </c:pt>
                      <c:pt idx="1">
                        <c:v>2.3596193444265123E-2</c:v>
                      </c:pt>
                      <c:pt idx="2">
                        <c:v>3.1927121025073432E-2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3.0612244897959183E-2</c:v>
                      </c:pt>
                      <c:pt idx="1">
                        <c:v>4.2183760921587175E-2</c:v>
                      </c:pt>
                      <c:pt idx="2">
                        <c:v>5.6021455025328848E-2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6.3732755672101238E-2</c:v>
                      </c:pt>
                      <c:pt idx="1">
                        <c:v>5.4148811842617842E-2</c:v>
                      </c:pt>
                      <c:pt idx="2">
                        <c:v>7.7944744795879276E-2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4.2526507809827842E-2</c:v>
                      </c:pt>
                      <c:pt idx="1">
                        <c:v>3.3724748177416664E-2</c:v>
                      </c:pt>
                      <c:pt idx="2">
                        <c:v>7.3602656336469285E-2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4.2640519895108885E-2</c:v>
                      </c:pt>
                      <c:pt idx="1">
                        <c:v>2.6545717624798265E-2</c:v>
                      </c:pt>
                      <c:pt idx="2">
                        <c:v>4.661359669660721E-2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16172</c:v>
                </c:pt>
                <c:pt idx="1">
                  <c:v>16610</c:v>
                </c:pt>
                <c:pt idx="2">
                  <c:v>20387</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43362</c:v>
                      </c:pt>
                      <c:pt idx="1">
                        <c:v>44353</c:v>
                      </c:pt>
                      <c:pt idx="2">
                        <c:v>49786</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Madera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2.7083848627256987E-2</c:v>
                </c:pt>
                <c:pt idx="2">
                  <c:v>0.22739313666465985</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Madera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2.2854111895207786E-2</c:v>
                      </c:pt>
                      <c:pt idx="2">
                        <c:v>0.12249453250062002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Madera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43362</c:v>
                </c:pt>
                <c:pt idx="1">
                  <c:v>44353</c:v>
                </c:pt>
                <c:pt idx="2">
                  <c:v>49786</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16172</c:v>
                      </c:pt>
                      <c:pt idx="1">
                        <c:v>16610</c:v>
                      </c:pt>
                      <c:pt idx="2">
                        <c:v>20387</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Madera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2.2854111895207786E-2</c:v>
                </c:pt>
                <c:pt idx="2">
                  <c:v>0.12249453250062002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Madera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2.7083848627256987E-2</c:v>
                      </c:pt>
                      <c:pt idx="2">
                        <c:v>0.22739313666465985</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0.3059545573256725</c:v>
                </c:pt>
                <c:pt idx="1">
                  <c:v>0.26338469574301382</c:v>
                </c:pt>
                <c:pt idx="2">
                  <c:v>0.40062679550796554</c:v>
                </c:pt>
                <c:pt idx="3">
                  <c:v>0.49712718725515803</c:v>
                </c:pt>
                <c:pt idx="4">
                  <c:v>0.15395664664403239</c:v>
                </c:pt>
                <c:pt idx="5">
                  <c:v>0.36066858187516321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Madera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2343</c:v>
                      </c:pt>
                      <c:pt idx="1">
                        <c:v>2017</c:v>
                      </c:pt>
                      <c:pt idx="2">
                        <c:v>3068</c:v>
                      </c:pt>
                      <c:pt idx="3">
                        <c:v>3807</c:v>
                      </c:pt>
                      <c:pt idx="4">
                        <c:v>1179</c:v>
                      </c:pt>
                      <c:pt idx="5">
                        <c:v>2762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7359</c:v>
                </c:pt>
                <c:pt idx="1">
                  <c:v>9530</c:v>
                </c:pt>
                <c:pt idx="2">
                  <c:v>12521</c:v>
                </c:pt>
                <c:pt idx="3">
                  <c:v>17049</c:v>
                </c:pt>
                <c:pt idx="4">
                  <c:v>18713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0.29501290936268515</c:v>
                </c:pt>
                <c:pt idx="2">
                  <c:v>0.31385099685204615</c:v>
                </c:pt>
                <c:pt idx="3">
                  <c:v>0.36163245747144795</c:v>
                </c:pt>
                <c:pt idx="4">
                  <c:v>9.7601032318611058E-2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12609</c:v>
                </c:pt>
                <c:pt idx="1">
                  <c:v>12769</c:v>
                </c:pt>
                <c:pt idx="2">
                  <c:v>13861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334</c:v>
                </c:pt>
                <c:pt idx="1">
                  <c:v>511</c:v>
                </c:pt>
                <c:pt idx="2">
                  <c:v>350</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687</c:v>
                </c:pt>
                <c:pt idx="1">
                  <c:v>648</c:v>
                </c:pt>
                <c:pt idx="2">
                  <c:v>741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1550</c:v>
                </c:pt>
                <c:pt idx="1">
                  <c:v>2063</c:v>
                </c:pt>
                <c:pt idx="2">
                  <c:v>1364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954</c:v>
                </c:pt>
                <c:pt idx="1">
                  <c:v>707</c:v>
                </c:pt>
                <c:pt idx="2">
                  <c:v>859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230</c:v>
                </c:pt>
                <c:pt idx="1">
                  <c:v>200</c:v>
                </c:pt>
                <c:pt idx="2">
                  <c:v>534</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197</c:v>
                </c:pt>
                <c:pt idx="1">
                  <c:v>139</c:v>
                </c:pt>
                <c:pt idx="2">
                  <c:v>481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574</c:v>
                </c:pt>
                <c:pt idx="1">
                  <c:v>519</c:v>
                </c:pt>
                <c:pt idx="2">
                  <c:v>312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347</c:v>
                </c:pt>
                <c:pt idx="1">
                  <c:v>322</c:v>
                </c:pt>
                <c:pt idx="2">
                  <c:v>211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116</c:v>
                </c:pt>
                <c:pt idx="1">
                  <c:v>16</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Madera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796</c:v>
                </c:pt>
                <c:pt idx="1">
                  <c:v>919</c:v>
                </c:pt>
                <c:pt idx="2">
                  <c:v>4460</c:v>
                </c:pt>
                <c:pt idx="3">
                  <c:v>3236</c:v>
                </c:pt>
                <c:pt idx="4">
                  <c:v>2027</c:v>
                </c:pt>
                <c:pt idx="5">
                  <c:v>2748</c:v>
                </c:pt>
                <c:pt idx="6">
                  <c:v>780</c:v>
                </c:pt>
                <c:pt idx="7">
                  <c:v>1104</c:v>
                </c:pt>
                <c:pt idx="8">
                  <c:v>997</c:v>
                </c:pt>
                <c:pt idx="9">
                  <c:v>531</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Madera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233</c:v>
                </c:pt>
                <c:pt idx="1">
                  <c:v>82</c:v>
                </c:pt>
                <c:pt idx="2">
                  <c:v>107</c:v>
                </c:pt>
                <c:pt idx="3">
                  <c:v>82</c:v>
                </c:pt>
                <c:pt idx="4">
                  <c:v>104</c:v>
                </c:pt>
                <c:pt idx="5">
                  <c:v>0</c:v>
                </c:pt>
                <c:pt idx="6">
                  <c:v>507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0.40692124105011934</c:v>
                </c:pt>
                <c:pt idx="1">
                  <c:v>0.53589334292587509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0.43271962723036711</c:v>
                </c:pt>
                <c:pt idx="1">
                  <c:v>0.3552912610445379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0.11308103193544722</c:v>
                </c:pt>
                <c:pt idx="1">
                  <c:v>8.0127700712695885E-2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2.954881236504148E-2</c:v>
                </c:pt>
                <c:pt idx="1">
                  <c:v>1.9694687380561612E-2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1.7729287419024888E-2</c:v>
                </c:pt>
                <c:pt idx="1">
                  <c:v>8.9930079363295043E-3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Madera</c:v>
                      </c:pt>
                      <c:pt idx="1">
                        <c:v>Madera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0.42355995229074583</c:v>
                </c:pt>
                <c:pt idx="1">
                  <c:v>0.50627797794519047</c:v>
                </c:pt>
                <c:pt idx="2">
                  <c:v>0.52679913174152615</c:v>
                </c:pt>
                <c:pt idx="3">
                  <c:v>0.50796837746266787</c:v>
                </c:pt>
                <c:pt idx="4">
                  <c:v>0.50625071030798952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0.57644004770925417</c:v>
                </c:pt>
                <c:pt idx="1">
                  <c:v>0.49372202205480947</c:v>
                </c:pt>
                <c:pt idx="2">
                  <c:v>0.47320086825847385</c:v>
                </c:pt>
                <c:pt idx="3">
                  <c:v>0.49203162253733218</c:v>
                </c:pt>
                <c:pt idx="4">
                  <c:v>0.49374928969201043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1"/>
              <c:layout>
                <c:manualLayout>
                  <c:x val="-3.9173336640061513E-17"/>
                  <c:y val="-4.550650169664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21-40EB-A485-1450AA8278CE}"/>
                </c:ext>
              </c:extLst>
            </c:dLbl>
            <c:dLbl>
              <c:idx val="2"/>
              <c:layout>
                <c:manualLayout>
                  <c:x val="-2.1367521367521368E-2"/>
                  <c:y val="-1.3651950508992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21-40EB-A485-1450AA8278CE}"/>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51500</c:v>
                </c:pt>
                <c:pt idx="1">
                  <c:v>68900</c:v>
                </c:pt>
                <c:pt idx="2">
                  <c:v>92300</c:v>
                </c:pt>
                <c:pt idx="3">
                  <c:v>230300</c:v>
                </c:pt>
                <c:pt idx="4">
                  <c:v>237500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3.0860932847452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0.3378640776699029</c:v>
                </c:pt>
                <c:pt idx="2">
                  <c:v>0.33962264150943394</c:v>
                </c:pt>
                <c:pt idx="3">
                  <c:v>1.495124593716143</c:v>
                </c:pt>
                <c:pt idx="4">
                  <c:v>3.1263569257490229E-2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0.55338894681960371</c:v>
                </c:pt>
                <c:pt idx="1">
                  <c:v>0.29065420560747662</c:v>
                </c:pt>
                <c:pt idx="2">
                  <c:v>0.75773195876288657</c:v>
                </c:pt>
                <c:pt idx="3">
                  <c:v>0.70967741935483875</c:v>
                </c:pt>
                <c:pt idx="4">
                  <c:v>18.787877999999999</c:v>
                </c:pt>
                <c:pt idx="5">
                  <c:v>0.4468937875751503</c:v>
                </c:pt>
                <c:pt idx="6">
                  <c:v>0.50512295081967218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0.44661105318039623</c:v>
                </c:pt>
                <c:pt idx="1">
                  <c:v>0.70934579439252332</c:v>
                </c:pt>
                <c:pt idx="2">
                  <c:v>0.2422680412371134</c:v>
                </c:pt>
                <c:pt idx="3">
                  <c:v>0.29032258064516131</c:v>
                </c:pt>
                <c:pt idx="4">
                  <c:v>18.787877999999999</c:v>
                </c:pt>
                <c:pt idx="5">
                  <c:v>0.5531062124248497</c:v>
                </c:pt>
                <c:pt idx="6">
                  <c:v>0.49487704918032788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161</c:v>
                </c:pt>
                <c:pt idx="1">
                  <c:v>490</c:v>
                </c:pt>
                <c:pt idx="2">
                  <c:v>150</c:v>
                </c:pt>
                <c:pt idx="3">
                  <c:v>69</c:v>
                </c:pt>
                <c:pt idx="4">
                  <c:v>148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159</c:v>
                </c:pt>
                <c:pt idx="1">
                  <c:v>490</c:v>
                </c:pt>
                <c:pt idx="2">
                  <c:v>150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2</c:v>
                </c:pt>
                <c:pt idx="1">
                  <c:v>0</c:v>
                </c:pt>
                <c:pt idx="2">
                  <c:v>0</c:v>
                </c:pt>
                <c:pt idx="3">
                  <c:v>69</c:v>
                </c:pt>
                <c:pt idx="4">
                  <c:v>148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2</c:v>
                      </c:pt>
                      <c:pt idx="1">
                        <c:v>104</c:v>
                      </c:pt>
                      <c:pt idx="2">
                        <c:v>6</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140</c:v>
                      </c:pt>
                      <c:pt idx="1">
                        <c:v>304</c:v>
                      </c:pt>
                      <c:pt idx="2">
                        <c:v>56</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17</c:v>
                      </c:pt>
                      <c:pt idx="1">
                        <c:v>82</c:v>
                      </c:pt>
                      <c:pt idx="2">
                        <c:v>88</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8.2840236686390539E-2</c:v>
                </c:pt>
                <c:pt idx="1">
                  <c:v>0.47348484848484851</c:v>
                </c:pt>
                <c:pt idx="2">
                  <c:v>0.17140238313473877</c:v>
                </c:pt>
                <c:pt idx="3">
                  <c:v>8.4230769230769234E-2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1352</c:v>
                      </c:pt>
                      <c:pt idx="1">
                        <c:v>1056</c:v>
                      </c:pt>
                      <c:pt idx="2">
                        <c:v>1091</c:v>
                      </c:pt>
                      <c:pt idx="3">
                        <c:v>2600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2</c:v>
                      </c:pt>
                      <c:pt idx="1">
                        <c:v>140</c:v>
                      </c:pt>
                      <c:pt idx="2">
                        <c:v>17</c:v>
                      </c:pt>
                      <c:pt idx="3">
                        <c:v>2</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104</c:v>
                      </c:pt>
                      <c:pt idx="1">
                        <c:v>304</c:v>
                      </c:pt>
                      <c:pt idx="2">
                        <c:v>82</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6</c:v>
                      </c:pt>
                      <c:pt idx="1">
                        <c:v>56</c:v>
                      </c:pt>
                      <c:pt idx="2">
                        <c:v>88</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69</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148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112</c:v>
                      </c:pt>
                      <c:pt idx="1">
                        <c:v>500</c:v>
                      </c:pt>
                      <c:pt idx="2">
                        <c:v>187</c:v>
                      </c:pt>
                      <c:pt idx="3">
                        <c:v>219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0.21660439047174218</c:v>
                </c:pt>
                <c:pt idx="1">
                  <c:v>7.2824225439825627E-2</c:v>
                </c:pt>
                <c:pt idx="2">
                  <c:v>8.5980071617624165E-2</c:v>
                </c:pt>
                <c:pt idx="3">
                  <c:v>2.6934454304841975E-2</c:v>
                </c:pt>
                <c:pt idx="4">
                  <c:v>9.6528102132959676E-2</c:v>
                </c:pt>
                <c:pt idx="5">
                  <c:v>4.592869375681146E-2</c:v>
                </c:pt>
                <c:pt idx="6">
                  <c:v>5.0988634594426284E-3</c:v>
                </c:pt>
                <c:pt idx="7">
                  <c:v>5.3868908609683949E-2</c:v>
                </c:pt>
                <c:pt idx="8">
                  <c:v>7.2434999221547558E-2</c:v>
                </c:pt>
                <c:pt idx="9">
                  <c:v>0.19297835902226373</c:v>
                </c:pt>
                <c:pt idx="10">
                  <c:v>6.4884010586953131E-2</c:v>
                </c:pt>
                <c:pt idx="11">
                  <c:v>3.0437490269344544E-2</c:v>
                </c:pt>
                <c:pt idx="12">
                  <c:v>3.5497431106959368E-2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0.14863282244513468</c:v>
                </c:pt>
                <c:pt idx="1">
                  <c:v>8.7597807084542664E-2</c:v>
                </c:pt>
                <c:pt idx="2">
                  <c:v>8.3897686576030681E-2</c:v>
                </c:pt>
                <c:pt idx="3">
                  <c:v>2.0180932498260265E-2</c:v>
                </c:pt>
                <c:pt idx="4">
                  <c:v>9.8273842863689592E-2</c:v>
                </c:pt>
                <c:pt idx="5">
                  <c:v>4.6132695147410765E-2</c:v>
                </c:pt>
                <c:pt idx="6">
                  <c:v>1.1371930003224876E-2</c:v>
                </c:pt>
                <c:pt idx="7">
                  <c:v>5.1224604104078621E-2</c:v>
                </c:pt>
                <c:pt idx="8">
                  <c:v>7.3323488976017107E-2</c:v>
                </c:pt>
                <c:pt idx="9">
                  <c:v>0.21531985674762802</c:v>
                </c:pt>
                <c:pt idx="10">
                  <c:v>7.9824159410696399E-2</c:v>
                </c:pt>
                <c:pt idx="11">
                  <c:v>3.6763582667141914E-2</c:v>
                </c:pt>
                <c:pt idx="12">
                  <c:v>4.7456591476144408E-2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Madera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5565</c:v>
                      </c:pt>
                      <c:pt idx="1">
                        <c:v>1871</c:v>
                      </c:pt>
                      <c:pt idx="2">
                        <c:v>2209</c:v>
                      </c:pt>
                      <c:pt idx="3">
                        <c:v>692</c:v>
                      </c:pt>
                      <c:pt idx="4">
                        <c:v>2480</c:v>
                      </c:pt>
                      <c:pt idx="5">
                        <c:v>1180</c:v>
                      </c:pt>
                      <c:pt idx="6">
                        <c:v>131</c:v>
                      </c:pt>
                      <c:pt idx="7">
                        <c:v>1384</c:v>
                      </c:pt>
                      <c:pt idx="8">
                        <c:v>1861</c:v>
                      </c:pt>
                      <c:pt idx="9">
                        <c:v>4958</c:v>
                      </c:pt>
                      <c:pt idx="10">
                        <c:v>1667</c:v>
                      </c:pt>
                      <c:pt idx="11">
                        <c:v>782</c:v>
                      </c:pt>
                      <c:pt idx="12">
                        <c:v>912</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8757</c:v>
                      </c:pt>
                      <c:pt idx="1">
                        <c:v>5161</c:v>
                      </c:pt>
                      <c:pt idx="2">
                        <c:v>4943</c:v>
                      </c:pt>
                      <c:pt idx="3">
                        <c:v>1189</c:v>
                      </c:pt>
                      <c:pt idx="4">
                        <c:v>5790</c:v>
                      </c:pt>
                      <c:pt idx="5">
                        <c:v>2718</c:v>
                      </c:pt>
                      <c:pt idx="6">
                        <c:v>670</c:v>
                      </c:pt>
                      <c:pt idx="7">
                        <c:v>3018</c:v>
                      </c:pt>
                      <c:pt idx="8">
                        <c:v>4320</c:v>
                      </c:pt>
                      <c:pt idx="9">
                        <c:v>12686</c:v>
                      </c:pt>
                      <c:pt idx="10">
                        <c:v>4703</c:v>
                      </c:pt>
                      <c:pt idx="11">
                        <c:v>2166</c:v>
                      </c:pt>
                      <c:pt idx="12">
                        <c:v>2796</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16172</c:v>
                </c:pt>
                <c:pt idx="1">
                  <c:v>16610</c:v>
                </c:pt>
                <c:pt idx="2">
                  <c:v>20387</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17598</c:v>
                </c:pt>
                <c:pt idx="1">
                  <c:v>17894</c:v>
                </c:pt>
                <c:pt idx="2">
                  <c:v>18713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0.91896806455279012</c:v>
                </c:pt>
                <c:pt idx="1">
                  <c:v>0.92824410416899517</c:v>
                </c:pt>
                <c:pt idx="2">
                  <c:v>1.0894565275476942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4.8300943289010115E-3</c:v>
                </c:pt>
                <c:pt idx="1">
                  <c:v>1.988862370723946E-3</c:v>
                </c:pt>
                <c:pt idx="2">
                  <c:v>4.7107625866575749E-2</c:v>
                </c:pt>
                <c:pt idx="3">
                  <c:v>0.25860893283327652</c:v>
                </c:pt>
                <c:pt idx="4">
                  <c:v>0.16996249573815206</c:v>
                </c:pt>
                <c:pt idx="5">
                  <c:v>2.375269917036027E-2</c:v>
                </c:pt>
                <c:pt idx="6">
                  <c:v>3.4549380611433117E-2</c:v>
                </c:pt>
                <c:pt idx="7">
                  <c:v>5.2619615865439257E-2</c:v>
                </c:pt>
                <c:pt idx="8">
                  <c:v>0.15831344470962611</c:v>
                </c:pt>
                <c:pt idx="9">
                  <c:v>0.17047391749062393</c:v>
                </c:pt>
                <c:pt idx="10">
                  <c:v>7.608819183998182E-2</c:v>
                </c:pt>
                <c:pt idx="11">
                  <c:v>1.7047391749062393E-3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3.9569234919849816E-3</c:v>
                </c:pt>
                <c:pt idx="1">
                  <c:v>1.3242204186245195E-2</c:v>
                </c:pt>
                <c:pt idx="2">
                  <c:v>7.5181546347714651E-2</c:v>
                </c:pt>
                <c:pt idx="3">
                  <c:v>0.36851098271094224</c:v>
                </c:pt>
                <c:pt idx="4">
                  <c:v>0.17084466827041975</c:v>
                </c:pt>
                <c:pt idx="5">
                  <c:v>2.6327030733604623E-2</c:v>
                </c:pt>
                <c:pt idx="6">
                  <c:v>1.5647833809213335E-2</c:v>
                </c:pt>
                <c:pt idx="7">
                  <c:v>3.2307381011263743E-2</c:v>
                </c:pt>
                <c:pt idx="8">
                  <c:v>0.1069268643629578</c:v>
                </c:pt>
                <c:pt idx="9">
                  <c:v>0.13698599339013917</c:v>
                </c:pt>
                <c:pt idx="10">
                  <c:v>4.5212347399896581E-2</c:v>
                </c:pt>
                <c:pt idx="11">
                  <c:v>4.8562242856179322E-3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85</c:v>
                      </c:pt>
                      <c:pt idx="1">
                        <c:v>35</c:v>
                      </c:pt>
                      <c:pt idx="2">
                        <c:v>829</c:v>
                      </c:pt>
                      <c:pt idx="3">
                        <c:v>4551</c:v>
                      </c:pt>
                      <c:pt idx="4">
                        <c:v>2991</c:v>
                      </c:pt>
                      <c:pt idx="5">
                        <c:v>418</c:v>
                      </c:pt>
                      <c:pt idx="6">
                        <c:v>608</c:v>
                      </c:pt>
                      <c:pt idx="7">
                        <c:v>926</c:v>
                      </c:pt>
                      <c:pt idx="8">
                        <c:v>2786</c:v>
                      </c:pt>
                      <c:pt idx="9">
                        <c:v>3000</c:v>
                      </c:pt>
                      <c:pt idx="10">
                        <c:v>1339</c:v>
                      </c:pt>
                      <c:pt idx="11">
                        <c:v>30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176</c:v>
                      </c:pt>
                      <c:pt idx="1">
                        <c:v>589</c:v>
                      </c:pt>
                      <c:pt idx="2">
                        <c:v>3344</c:v>
                      </c:pt>
                      <c:pt idx="3">
                        <c:v>16391</c:v>
                      </c:pt>
                      <c:pt idx="4">
                        <c:v>7599</c:v>
                      </c:pt>
                      <c:pt idx="5">
                        <c:v>1171</c:v>
                      </c:pt>
                      <c:pt idx="6">
                        <c:v>696</c:v>
                      </c:pt>
                      <c:pt idx="7">
                        <c:v>1437</c:v>
                      </c:pt>
                      <c:pt idx="8">
                        <c:v>4756</c:v>
                      </c:pt>
                      <c:pt idx="9">
                        <c:v>6093</c:v>
                      </c:pt>
                      <c:pt idx="10">
                        <c:v>2011</c:v>
                      </c:pt>
                      <c:pt idx="11">
                        <c:v>216</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4.9251330280905829E-2</c:v>
                </c:pt>
                <c:pt idx="1">
                  <c:v>2.1408241554263085E-2</c:v>
                </c:pt>
                <c:pt idx="2">
                  <c:v>2.4749412201460216E-4</c:v>
                </c:pt>
                <c:pt idx="3">
                  <c:v>0.12857319638658582</c:v>
                </c:pt>
                <c:pt idx="4">
                  <c:v>6.5462195272862275E-2</c:v>
                </c:pt>
                <c:pt idx="5">
                  <c:v>7.4000742482366044E-2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6.6492015968063867E-2</c:v>
                </c:pt>
                <c:pt idx="1">
                  <c:v>6.8612774451097805E-3</c:v>
                </c:pt>
                <c:pt idx="2">
                  <c:v>6.9860279441117763E-3</c:v>
                </c:pt>
                <c:pt idx="3">
                  <c:v>0.13971509971509971</c:v>
                </c:pt>
                <c:pt idx="4">
                  <c:v>4.148148148148148E-2</c:v>
                </c:pt>
                <c:pt idx="5">
                  <c:v>1.150997150997151E-2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5.0173981367156804E-2</c:v>
                </c:pt>
                <c:pt idx="1">
                  <c:v>1.4591985632506453E-2</c:v>
                </c:pt>
                <c:pt idx="2">
                  <c:v>3.2551352564822089E-3</c:v>
                </c:pt>
                <c:pt idx="3">
                  <c:v>0.17758084934975257</c:v>
                </c:pt>
                <c:pt idx="4">
                  <c:v>4.4884336517435841E-2</c:v>
                </c:pt>
                <c:pt idx="5">
                  <c:v>3.256991598572908E-2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398</c:v>
                      </c:pt>
                      <c:pt idx="1">
                        <c:v>173</c:v>
                      </c:pt>
                      <c:pt idx="2">
                        <c:v>2</c:v>
                      </c:pt>
                      <c:pt idx="3">
                        <c:v>1039</c:v>
                      </c:pt>
                      <c:pt idx="4">
                        <c:v>529</c:v>
                      </c:pt>
                      <c:pt idx="5">
                        <c:v>598</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533</c:v>
                      </c:pt>
                      <c:pt idx="1">
                        <c:v>55</c:v>
                      </c:pt>
                      <c:pt idx="2">
                        <c:v>56</c:v>
                      </c:pt>
                      <c:pt idx="3">
                        <c:v>1226</c:v>
                      </c:pt>
                      <c:pt idx="4">
                        <c:v>364</c:v>
                      </c:pt>
                      <c:pt idx="5">
                        <c:v>101</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447</c:v>
                      </c:pt>
                      <c:pt idx="1">
                        <c:v>130</c:v>
                      </c:pt>
                      <c:pt idx="2">
                        <c:v>29</c:v>
                      </c:pt>
                      <c:pt idx="3">
                        <c:v>1543</c:v>
                      </c:pt>
                      <c:pt idx="4">
                        <c:v>390</c:v>
                      </c:pt>
                      <c:pt idx="5">
                        <c:v>283</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2.3298102057051936E-3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4.7213291665729895E-4</c:v>
                </c:pt>
                <c:pt idx="1">
                  <c:v>2.1808044245599048E-3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41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21</c:v>
                      </c:pt>
                      <c:pt idx="1">
                        <c:v>97</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9.0919422661666098E-4</c:v>
                </c:pt>
                <c:pt idx="1">
                  <c:v>4.3754972155926808E-3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5.3958047617977021E-4</c:v>
                </c:pt>
                <c:pt idx="1">
                  <c:v>2.7878324602621462E-3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16</c:v>
                      </c:pt>
                      <c:pt idx="1">
                        <c:v>77</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24</c:v>
                      </c:pt>
                      <c:pt idx="1">
                        <c:v>124</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4878</c:v>
                </c:pt>
                <c:pt idx="1" formatCode="#,##0">
                  <c:v>6958</c:v>
                </c:pt>
                <c:pt idx="2" formatCode="#,##0">
                  <c:v>5565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1071</c:v>
                </c:pt>
                <c:pt idx="1" formatCode="#,##0">
                  <c:v>1022</c:v>
                </c:pt>
                <c:pt idx="2" formatCode="#,##0">
                  <c:v>1871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2120</c:v>
                </c:pt>
                <c:pt idx="1" formatCode="#,##0">
                  <c:v>2310</c:v>
                </c:pt>
                <c:pt idx="2" formatCode="#,##0">
                  <c:v>2209</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458</c:v>
                </c:pt>
                <c:pt idx="1" formatCode="#,##0">
                  <c:v>426</c:v>
                </c:pt>
                <c:pt idx="2" formatCode="#,##0">
                  <c:v>692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2260</c:v>
                </c:pt>
                <c:pt idx="1" formatCode="#,##0">
                  <c:v>2685</c:v>
                </c:pt>
                <c:pt idx="2" formatCode="#,##0">
                  <c:v>2480</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1058</c:v>
                </c:pt>
                <c:pt idx="1" formatCode="#,##0">
                  <c:v>987</c:v>
                </c:pt>
                <c:pt idx="2" formatCode="#,##0">
                  <c:v>1180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182</c:v>
                </c:pt>
                <c:pt idx="1" formatCode="#,##0">
                  <c:v>221</c:v>
                </c:pt>
                <c:pt idx="2" formatCode="#,##0">
                  <c:v>131</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660</c:v>
                </c:pt>
                <c:pt idx="1" formatCode="#,##0">
                  <c:v>424</c:v>
                </c:pt>
                <c:pt idx="2" formatCode="#,##0">
                  <c:v>1384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980</c:v>
                </c:pt>
                <c:pt idx="1" formatCode="#,##0">
                  <c:v>1191</c:v>
                </c:pt>
                <c:pt idx="2" formatCode="#,##0">
                  <c:v>1861</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3978</c:v>
                </c:pt>
                <c:pt idx="1" formatCode="#,##0">
                  <c:v>4272</c:v>
                </c:pt>
                <c:pt idx="2" formatCode="#,##0">
                  <c:v>4958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1334</c:v>
                </c:pt>
                <c:pt idx="1" formatCode="#,##0">
                  <c:v>1618</c:v>
                </c:pt>
                <c:pt idx="2" formatCode="#,##0">
                  <c:v>1667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1145</c:v>
                </c:pt>
                <c:pt idx="1" formatCode="#,##0">
                  <c:v>804</c:v>
                </c:pt>
                <c:pt idx="2" formatCode="#,##0">
                  <c:v>782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1143</c:v>
                </c:pt>
                <c:pt idx="1" formatCode="#,##0">
                  <c:v>1211</c:v>
                </c:pt>
                <c:pt idx="2" formatCode="#,##0">
                  <c:v>912</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21267</c:v>
                      </c:pt>
                      <c:pt idx="1" formatCode="#,##0">
                        <c:v>24129</c:v>
                      </c:pt>
                      <c:pt idx="2" formatCode="#,##0">
                        <c:v>25692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(Population!$C$257,Population!$E$257,Population!$G$257)</c:f>
              <c:numCache>
                <c:formatCode>#,##0.0%</c:formatCode>
                <c:ptCount val="3"/>
                <c:pt idx="0">
                  <c:v>0.20158025844620894</c:v>
                </c:pt>
                <c:pt idx="1">
                  <c:v>0.2580409728940713</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(Population!$C$258,Population!$E$258,Population!$G$258)</c:f>
              <c:numCache>
                <c:formatCode>#,##0.0%</c:formatCode>
                <c:ptCount val="3"/>
                <c:pt idx="0">
                  <c:v>0.18095126887747159</c:v>
                </c:pt>
                <c:pt idx="1">
                  <c:v>0.1835972639475873</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(Population!$C$259,Population!$E$259,Population!$G$259)</c:f>
              <c:numCache>
                <c:formatCode>#,##0.0%</c:formatCode>
                <c:ptCount val="3"/>
                <c:pt idx="0">
                  <c:v>0.19099330530904562</c:v>
                </c:pt>
                <c:pt idx="1">
                  <c:v>0.19707384965290153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(Population!$C$260,Population!$E$260,Population!$G$260)</c:f>
              <c:numCache>
                <c:formatCode>#,##0.0%</c:formatCode>
                <c:ptCount val="3"/>
                <c:pt idx="0">
                  <c:v>0.28051533551300017</c:v>
                </c:pt>
                <c:pt idx="1">
                  <c:v>0.22193933839129623</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(Population!$C$261,Population!$E$261,Population!$G$261)</c:f>
              <c:numCache>
                <c:formatCode>#,##0.0%</c:formatCode>
                <c:ptCount val="3"/>
                <c:pt idx="0">
                  <c:v>0.14595983185427369</c:v>
                </c:pt>
                <c:pt idx="1">
                  <c:v>0.13934857511414361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3.5155888611342397E-2</c:v>
                </c:pt>
                <c:pt idx="1">
                  <c:v>6.3373114996761954E-3</c:v>
                </c:pt>
                <c:pt idx="2">
                  <c:v>0.95850679988898135</c:v>
                </c:pt>
                <c:pt idx="3">
                  <c:v>5.3793582145336111E-2</c:v>
                </c:pt>
                <c:pt idx="4">
                  <c:v>5.7878156869026642E-2</c:v>
                </c:pt>
                <c:pt idx="5">
                  <c:v>0.88832826098563722</c:v>
                </c:pt>
                <c:pt idx="6">
                  <c:v>0.1888751980285161</c:v>
                </c:pt>
                <c:pt idx="7">
                  <c:v>0.2649181482133427</c:v>
                </c:pt>
                <c:pt idx="8">
                  <c:v>0.54620665375814115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3.1809563935116913E-2</c:v>
                </c:pt>
                <c:pt idx="1">
                  <c:v>8.8945064719237882E-3</c:v>
                </c:pt>
                <c:pt idx="2">
                  <c:v>0.95929592959295928</c:v>
                </c:pt>
                <c:pt idx="3">
                  <c:v>6.4631978332716888E-2</c:v>
                </c:pt>
                <c:pt idx="4">
                  <c:v>5.0576879481703314E-2</c:v>
                </c:pt>
                <c:pt idx="5">
                  <c:v>0.88479114218557975</c:v>
                </c:pt>
                <c:pt idx="6">
                  <c:v>0.20056351256163418</c:v>
                </c:pt>
                <c:pt idx="7">
                  <c:v>0.19718243719182907</c:v>
                </c:pt>
                <c:pt idx="8">
                  <c:v>0.60225405024653678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Madera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760</c:v>
                      </c:pt>
                      <c:pt idx="1">
                        <c:v>137</c:v>
                      </c:pt>
                      <c:pt idx="2">
                        <c:v>20721</c:v>
                      </c:pt>
                      <c:pt idx="3">
                        <c:v>2015</c:v>
                      </c:pt>
                      <c:pt idx="4">
                        <c:v>2168</c:v>
                      </c:pt>
                      <c:pt idx="5">
                        <c:v>33275</c:v>
                      </c:pt>
                      <c:pt idx="6">
                        <c:v>1073</c:v>
                      </c:pt>
                      <c:pt idx="7">
                        <c:v>1505</c:v>
                      </c:pt>
                      <c:pt idx="8">
                        <c:v>3103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Madera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1359</c:v>
                      </c:pt>
                      <c:pt idx="1">
                        <c:v>380</c:v>
                      </c:pt>
                      <c:pt idx="2">
                        <c:v>40984</c:v>
                      </c:pt>
                      <c:pt idx="3">
                        <c:v>5417</c:v>
                      </c:pt>
                      <c:pt idx="4">
                        <c:v>4239</c:v>
                      </c:pt>
                      <c:pt idx="5">
                        <c:v>74157</c:v>
                      </c:pt>
                      <c:pt idx="6">
                        <c:v>4271</c:v>
                      </c:pt>
                      <c:pt idx="7">
                        <c:v>4199</c:v>
                      </c:pt>
                      <c:pt idx="8">
                        <c:v>12825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0.69429160935350753</c:v>
                </c:pt>
                <c:pt idx="1">
                  <c:v>0.84756604087057652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0.30570839064649241</c:v>
                </c:pt>
                <c:pt idx="1">
                  <c:v>0.15243395912942348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0.62159484893511641</c:v>
                      </c:pt>
                      <c:pt idx="1">
                        <c:v>0.62638439674605506</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0.229321446260525</c:v>
                      </c:pt>
                      <c:pt idx="1">
                        <c:v>0.26570616485347448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0.14908370480435859</c:v>
                      </c:pt>
                      <c:pt idx="1">
                        <c:v>0.10790943840047044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0.50956130483689543</c:v>
                      </c:pt>
                      <c:pt idx="1">
                        <c:v>0.60926430517711172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0.26884139482564678</c:v>
                      </c:pt>
                      <c:pt idx="1">
                        <c:v>0.24686648501362399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0.22159730033745781</c:v>
                      </c:pt>
                      <c:pt idx="1">
                        <c:v>0.14386920980926429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3" t="s">
        <v>2465</v>
      </c>
      <c r="B1" s="313"/>
      <c r="C1" s="313"/>
      <c r="D1" s="313"/>
      <c r="E1" s="313"/>
      <c r="F1" s="313"/>
      <c r="G1" s="313"/>
      <c r="H1"/>
      <c r="I1"/>
    </row>
    <row r="2" spans="1:9" x14ac:dyDescent="0.3">
      <c r="A2" s="77" t="s">
        <v>0</v>
      </c>
      <c r="B2" s="264" t="s">
        <v>799</v>
      </c>
      <c r="C2" s="314"/>
      <c r="D2" s="314"/>
      <c r="E2" s="314"/>
      <c r="F2" s="314"/>
      <c r="G2" s="314"/>
    </row>
    <row r="3" spans="1:9" x14ac:dyDescent="0.3">
      <c r="A3" s="77" t="s">
        <v>2</v>
      </c>
      <c r="B3" s="264" t="s">
        <v>4600</v>
      </c>
      <c r="C3" s="314"/>
      <c r="D3" s="314"/>
      <c r="E3" s="314"/>
      <c r="F3" s="314"/>
      <c r="G3" s="314"/>
    </row>
    <row r="4" spans="1:9" ht="3.6" customHeight="1" x14ac:dyDescent="0.3"/>
    <row r="5" spans="1:9" ht="28.2" customHeight="1" x14ac:dyDescent="0.3">
      <c r="B5" s="317" t="s">
        <v>3</v>
      </c>
      <c r="C5" s="31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Madera. It was prepared as part of the San Joaquin Valley (SJV) Regional Early Action Project (REAP) report Taking Stock: A Comprehensive Housing Report for the San Joaquin Valley in 2022.</v>
      </c>
      <c r="D5" s="316"/>
      <c r="E5" s="316"/>
      <c r="F5" s="316"/>
      <c r="G5" s="316"/>
    </row>
    <row r="6" spans="1:9" ht="28.95" customHeight="1" x14ac:dyDescent="0.3">
      <c r="B6" s="318"/>
      <c r="C6" s="311" t="s">
        <v>2547</v>
      </c>
      <c r="D6" s="316"/>
      <c r="E6" s="316"/>
      <c r="F6" s="316"/>
      <c r="G6" s="316"/>
    </row>
    <row r="7" spans="1:9" ht="69.599999999999994" customHeight="1" x14ac:dyDescent="0.3">
      <c r="B7" s="318"/>
      <c r="C7" s="311" t="s">
        <v>2548</v>
      </c>
      <c r="D7" s="312"/>
      <c r="E7" s="312"/>
      <c r="F7" s="312"/>
      <c r="G7" s="312"/>
    </row>
    <row r="8" spans="1:9" ht="28.95" customHeight="1" x14ac:dyDescent="0.3">
      <c r="B8" s="318"/>
      <c r="C8" s="311" t="s">
        <v>2546</v>
      </c>
      <c r="D8" s="312"/>
      <c r="E8" s="312"/>
      <c r="F8" s="312"/>
      <c r="G8" s="312"/>
    </row>
    <row r="9" spans="1:9" ht="5.4" customHeight="1" x14ac:dyDescent="0.3">
      <c r="B9" s="38"/>
      <c r="C9" s="99"/>
      <c r="D9" s="99"/>
      <c r="E9" s="99"/>
      <c r="F9" s="99"/>
      <c r="G9" s="99"/>
    </row>
    <row r="10" spans="1:9" ht="18" customHeight="1" x14ac:dyDescent="0.3">
      <c r="B10" s="319" t="s">
        <v>4</v>
      </c>
      <c r="C10" s="320"/>
      <c r="D10" s="320"/>
      <c r="E10" s="320"/>
      <c r="F10" s="320"/>
      <c r="G10" s="320"/>
    </row>
    <row r="11" spans="1:9" x14ac:dyDescent="0.3">
      <c r="B11" s="34"/>
    </row>
    <row r="12" spans="1:9" ht="28.8" x14ac:dyDescent="0.3">
      <c r="B12" s="34"/>
      <c r="C12" s="98" t="s">
        <v>5</v>
      </c>
      <c r="D12" s="98" t="s">
        <v>2463</v>
      </c>
      <c r="E12" s="98" t="s">
        <v>2464</v>
      </c>
      <c r="F12" s="98" t="s">
        <v>2454</v>
      </c>
      <c r="G12" s="233" t="s">
        <v>6</v>
      </c>
    </row>
    <row r="13" spans="1:9" x14ac:dyDescent="0.3">
      <c r="B13" s="331" t="s">
        <v>7</v>
      </c>
      <c r="C13" s="170" t="s">
        <v>8</v>
      </c>
      <c r="D13" s="171" t="s">
        <v>9</v>
      </c>
      <c r="E13" s="26" t="s">
        <v>10</v>
      </c>
      <c r="F13" s="187"/>
      <c r="G13" s="234"/>
    </row>
    <row r="14" spans="1:9" ht="28.8" x14ac:dyDescent="0.3">
      <c r="B14" s="332"/>
      <c r="C14" s="172" t="s">
        <v>11</v>
      </c>
      <c r="D14" s="93" t="s">
        <v>9</v>
      </c>
      <c r="E14" s="26" t="s">
        <v>12</v>
      </c>
      <c r="G14" s="235" t="s">
        <v>13</v>
      </c>
    </row>
    <row r="15" spans="1:9" x14ac:dyDescent="0.3">
      <c r="B15" s="332"/>
      <c r="C15" s="172" t="s">
        <v>14</v>
      </c>
      <c r="D15" s="93" t="s">
        <v>9</v>
      </c>
      <c r="E15" s="26" t="s">
        <v>10</v>
      </c>
      <c r="G15" s="236"/>
    </row>
    <row r="16" spans="1:9" x14ac:dyDescent="0.3">
      <c r="B16" s="332"/>
      <c r="C16" s="172" t="s">
        <v>15</v>
      </c>
      <c r="D16" s="93" t="s">
        <v>9</v>
      </c>
      <c r="E16" s="26" t="s">
        <v>10</v>
      </c>
      <c r="G16" s="235" t="s">
        <v>16</v>
      </c>
    </row>
    <row r="17" spans="2:7" x14ac:dyDescent="0.3">
      <c r="B17" s="332"/>
      <c r="C17" s="172" t="s">
        <v>17</v>
      </c>
      <c r="D17" s="93" t="s">
        <v>9</v>
      </c>
      <c r="E17" s="26" t="s">
        <v>10</v>
      </c>
      <c r="G17" s="236"/>
    </row>
    <row r="18" spans="2:7" x14ac:dyDescent="0.3">
      <c r="B18" s="332"/>
      <c r="C18" s="172" t="s">
        <v>18</v>
      </c>
      <c r="D18" s="93" t="s">
        <v>9</v>
      </c>
      <c r="E18" s="26" t="s">
        <v>10</v>
      </c>
      <c r="G18" s="236"/>
    </row>
    <row r="19" spans="2:7" ht="28.8" x14ac:dyDescent="0.3">
      <c r="B19" s="332"/>
      <c r="C19" s="173" t="s">
        <v>19</v>
      </c>
      <c r="D19" s="93" t="s">
        <v>9</v>
      </c>
      <c r="E19" s="26" t="s">
        <v>12</v>
      </c>
      <c r="G19" s="235" t="s">
        <v>20</v>
      </c>
    </row>
    <row r="20" spans="2:7" x14ac:dyDescent="0.3">
      <c r="B20" s="332"/>
      <c r="C20" s="174" t="s">
        <v>21</v>
      </c>
      <c r="D20" s="93" t="s">
        <v>9</v>
      </c>
      <c r="E20" s="26" t="s">
        <v>12</v>
      </c>
      <c r="G20" s="237"/>
    </row>
    <row r="21" spans="2:7" ht="28.8" x14ac:dyDescent="0.3">
      <c r="B21" s="332"/>
      <c r="C21" s="175" t="s">
        <v>22</v>
      </c>
      <c r="D21" s="93" t="s">
        <v>23</v>
      </c>
      <c r="E21" s="26" t="s">
        <v>10</v>
      </c>
      <c r="G21" s="237"/>
    </row>
    <row r="22" spans="2:7" ht="28.8" x14ac:dyDescent="0.3">
      <c r="B22" s="332"/>
      <c r="C22" s="175" t="s">
        <v>24</v>
      </c>
      <c r="D22" s="93" t="s">
        <v>23</v>
      </c>
      <c r="E22" s="26" t="s">
        <v>10</v>
      </c>
      <c r="G22" s="238" t="s">
        <v>25</v>
      </c>
    </row>
    <row r="23" spans="2:7" ht="28.8" x14ac:dyDescent="0.3">
      <c r="B23" s="332"/>
      <c r="C23" s="175" t="s">
        <v>26</v>
      </c>
      <c r="D23" s="93" t="s">
        <v>23</v>
      </c>
      <c r="E23" s="26" t="s">
        <v>10</v>
      </c>
      <c r="G23" s="238" t="s">
        <v>27</v>
      </c>
    </row>
    <row r="24" spans="2:7" ht="28.8" x14ac:dyDescent="0.3">
      <c r="B24" s="332"/>
      <c r="C24" s="175" t="s">
        <v>28</v>
      </c>
      <c r="D24" s="93" t="s">
        <v>29</v>
      </c>
      <c r="E24" s="26" t="s">
        <v>10</v>
      </c>
      <c r="G24" s="238"/>
    </row>
    <row r="25" spans="2:7" ht="28.8" x14ac:dyDescent="0.3">
      <c r="B25" s="332"/>
      <c r="C25" s="175" t="s">
        <v>30</v>
      </c>
      <c r="D25" s="93" t="s">
        <v>29</v>
      </c>
      <c r="E25" s="26" t="s">
        <v>12</v>
      </c>
      <c r="G25" s="238"/>
    </row>
    <row r="26" spans="2:7" ht="28.8" x14ac:dyDescent="0.3">
      <c r="B26" s="332"/>
      <c r="C26" s="175" t="s">
        <v>31</v>
      </c>
      <c r="D26" s="93" t="s">
        <v>9</v>
      </c>
      <c r="E26" s="26" t="s">
        <v>10</v>
      </c>
      <c r="G26" s="237"/>
    </row>
    <row r="27" spans="2:7" ht="28.8" x14ac:dyDescent="0.3">
      <c r="B27" s="332"/>
      <c r="C27" s="339" t="s">
        <v>32</v>
      </c>
      <c r="D27" s="93" t="s">
        <v>9</v>
      </c>
      <c r="E27" s="26" t="s">
        <v>10</v>
      </c>
      <c r="G27" s="238" t="s">
        <v>4584</v>
      </c>
    </row>
    <row r="28" spans="2:7" ht="28.8" x14ac:dyDescent="0.3">
      <c r="B28" s="332"/>
      <c r="C28" s="340"/>
      <c r="D28" s="93" t="s">
        <v>9</v>
      </c>
      <c r="E28" s="26" t="s">
        <v>12</v>
      </c>
      <c r="G28" s="238" t="s">
        <v>4585</v>
      </c>
    </row>
    <row r="29" spans="2:7" ht="28.8" x14ac:dyDescent="0.3">
      <c r="B29" s="332"/>
      <c r="C29" s="175" t="s">
        <v>33</v>
      </c>
      <c r="D29" s="93" t="s">
        <v>9</v>
      </c>
      <c r="E29" s="26" t="s">
        <v>12</v>
      </c>
      <c r="G29" s="238" t="s">
        <v>4586</v>
      </c>
    </row>
    <row r="30" spans="2:7" ht="43.2" x14ac:dyDescent="0.3">
      <c r="B30" s="332"/>
      <c r="C30" s="175" t="s">
        <v>2481</v>
      </c>
      <c r="D30" s="93" t="s">
        <v>34</v>
      </c>
      <c r="E30" s="26" t="s">
        <v>10</v>
      </c>
      <c r="F30" s="26" t="s">
        <v>2549</v>
      </c>
      <c r="G30" s="238"/>
    </row>
    <row r="31" spans="2:7" ht="43.8" thickBot="1" x14ac:dyDescent="0.35">
      <c r="B31" s="332"/>
      <c r="C31" s="176" t="s">
        <v>2482</v>
      </c>
      <c r="D31" s="177" t="s">
        <v>34</v>
      </c>
      <c r="E31" s="228" t="s">
        <v>10</v>
      </c>
      <c r="F31" s="188" t="s">
        <v>2550</v>
      </c>
      <c r="G31" s="239"/>
    </row>
    <row r="32" spans="2:7" x14ac:dyDescent="0.3">
      <c r="B32"/>
      <c r="C32" s="146"/>
      <c r="G32" s="146"/>
    </row>
    <row r="33" spans="2:7" ht="29.4" thickBot="1" x14ac:dyDescent="0.35">
      <c r="B33" s="158"/>
      <c r="C33" s="142" t="s">
        <v>5</v>
      </c>
      <c r="D33" s="142" t="s">
        <v>2463</v>
      </c>
      <c r="E33" s="142" t="s">
        <v>2464</v>
      </c>
      <c r="F33" s="142" t="s">
        <v>2454</v>
      </c>
      <c r="G33" s="240" t="s">
        <v>6</v>
      </c>
    </row>
    <row r="34" spans="2:7" ht="28.8" x14ac:dyDescent="0.3">
      <c r="B34" s="336" t="s">
        <v>35</v>
      </c>
      <c r="C34" s="147" t="s">
        <v>36</v>
      </c>
      <c r="D34" s="166" t="s">
        <v>37</v>
      </c>
      <c r="E34" s="26" t="s">
        <v>12</v>
      </c>
      <c r="F34" s="191"/>
      <c r="G34" s="241" t="s">
        <v>4587</v>
      </c>
    </row>
    <row r="35" spans="2:7" x14ac:dyDescent="0.3">
      <c r="B35" s="337"/>
      <c r="C35" s="148" t="s">
        <v>38</v>
      </c>
      <c r="D35" s="93" t="s">
        <v>37</v>
      </c>
      <c r="E35" s="26" t="s">
        <v>10</v>
      </c>
      <c r="G35" s="242" t="s">
        <v>39</v>
      </c>
    </row>
    <row r="36" spans="2:7" ht="28.8" x14ac:dyDescent="0.3">
      <c r="B36" s="337"/>
      <c r="C36" s="148" t="s">
        <v>40</v>
      </c>
      <c r="D36" s="93" t="s">
        <v>41</v>
      </c>
      <c r="E36" s="26" t="s">
        <v>10</v>
      </c>
      <c r="G36" s="242" t="s">
        <v>42</v>
      </c>
    </row>
    <row r="37" spans="2:7" ht="28.8" x14ac:dyDescent="0.3">
      <c r="B37" s="337"/>
      <c r="C37" s="148" t="s">
        <v>43</v>
      </c>
      <c r="D37" s="93" t="s">
        <v>41</v>
      </c>
      <c r="E37" s="26" t="s">
        <v>10</v>
      </c>
      <c r="G37" s="242"/>
    </row>
    <row r="38" spans="2:7" x14ac:dyDescent="0.3">
      <c r="B38" s="337"/>
      <c r="C38" s="148" t="s">
        <v>44</v>
      </c>
      <c r="D38" s="93" t="s">
        <v>37</v>
      </c>
      <c r="E38" s="26" t="s">
        <v>10</v>
      </c>
      <c r="G38" s="243"/>
    </row>
    <row r="39" spans="2:7" x14ac:dyDescent="0.3">
      <c r="B39" s="337"/>
      <c r="C39" s="148" t="s">
        <v>45</v>
      </c>
      <c r="D39" s="93" t="s">
        <v>46</v>
      </c>
      <c r="E39" s="26" t="s">
        <v>10</v>
      </c>
      <c r="G39" s="243"/>
    </row>
    <row r="40" spans="2:7" ht="28.8" x14ac:dyDescent="0.3">
      <c r="B40" s="337"/>
      <c r="C40" s="148" t="s">
        <v>4582</v>
      </c>
      <c r="D40" s="93" t="s">
        <v>46</v>
      </c>
      <c r="E40" s="26" t="s">
        <v>12</v>
      </c>
      <c r="G40" s="242" t="s">
        <v>47</v>
      </c>
    </row>
    <row r="41" spans="2:7" ht="28.8" x14ac:dyDescent="0.3">
      <c r="B41" s="337"/>
      <c r="C41" s="229" t="s">
        <v>48</v>
      </c>
      <c r="D41" s="93" t="s">
        <v>49</v>
      </c>
      <c r="E41" s="26" t="s">
        <v>10</v>
      </c>
      <c r="F41" s="26" t="s">
        <v>2551</v>
      </c>
      <c r="G41" s="242"/>
    </row>
    <row r="42" spans="2:7" ht="28.8" x14ac:dyDescent="0.3">
      <c r="B42" s="337"/>
      <c r="C42" s="148" t="s">
        <v>50</v>
      </c>
      <c r="D42" s="93" t="s">
        <v>51</v>
      </c>
      <c r="E42" s="26" t="s">
        <v>10</v>
      </c>
      <c r="F42" s="26" t="s">
        <v>2551</v>
      </c>
      <c r="G42" s="242"/>
    </row>
    <row r="43" spans="2:7" x14ac:dyDescent="0.3">
      <c r="B43" s="337"/>
      <c r="C43" s="230" t="s">
        <v>52</v>
      </c>
      <c r="D43" s="93" t="s">
        <v>51</v>
      </c>
      <c r="E43" s="26" t="s">
        <v>10</v>
      </c>
      <c r="G43" s="242"/>
    </row>
    <row r="44" spans="2:7" ht="28.8" x14ac:dyDescent="0.3">
      <c r="B44" s="337"/>
      <c r="C44" s="148" t="s">
        <v>53</v>
      </c>
      <c r="D44" s="93" t="s">
        <v>51</v>
      </c>
      <c r="E44" s="26" t="s">
        <v>10</v>
      </c>
      <c r="F44" s="26" t="s">
        <v>2551</v>
      </c>
      <c r="G44" s="242"/>
    </row>
    <row r="45" spans="2:7" ht="28.8" x14ac:dyDescent="0.3">
      <c r="B45" s="337"/>
      <c r="C45" s="148" t="s">
        <v>54</v>
      </c>
      <c r="D45" s="93" t="s">
        <v>51</v>
      </c>
      <c r="E45" s="26" t="s">
        <v>10</v>
      </c>
      <c r="G45" s="242"/>
    </row>
    <row r="46" spans="2:7" x14ac:dyDescent="0.3">
      <c r="B46" s="337"/>
      <c r="C46" s="148" t="s">
        <v>55</v>
      </c>
      <c r="D46" s="93" t="s">
        <v>56</v>
      </c>
      <c r="E46" s="26" t="s">
        <v>10</v>
      </c>
      <c r="G46" s="242" t="s">
        <v>57</v>
      </c>
    </row>
    <row r="47" spans="2:7" x14ac:dyDescent="0.3">
      <c r="B47" s="337"/>
      <c r="C47" s="148" t="s">
        <v>58</v>
      </c>
      <c r="D47" s="93" t="s">
        <v>56</v>
      </c>
      <c r="E47" s="26" t="s">
        <v>10</v>
      </c>
      <c r="G47" s="242" t="s">
        <v>59</v>
      </c>
    </row>
    <row r="48" spans="2:7" ht="28.8" x14ac:dyDescent="0.3">
      <c r="B48" s="337"/>
      <c r="C48" s="148" t="s">
        <v>60</v>
      </c>
      <c r="D48" s="93" t="s">
        <v>56</v>
      </c>
      <c r="E48" s="26" t="s">
        <v>12</v>
      </c>
      <c r="G48" s="242" t="s">
        <v>61</v>
      </c>
    </row>
    <row r="49" spans="2:7" x14ac:dyDescent="0.3">
      <c r="B49" s="337"/>
      <c r="C49" s="167" t="s">
        <v>62</v>
      </c>
      <c r="D49" s="93" t="s">
        <v>63</v>
      </c>
      <c r="E49" s="26" t="s">
        <v>10</v>
      </c>
      <c r="G49" s="244" t="s">
        <v>64</v>
      </c>
    </row>
    <row r="50" spans="2:7" ht="28.8" x14ac:dyDescent="0.3">
      <c r="B50" s="337"/>
      <c r="C50" s="167" t="s">
        <v>65</v>
      </c>
      <c r="D50" s="93" t="s">
        <v>63</v>
      </c>
      <c r="E50" s="26" t="s">
        <v>10</v>
      </c>
      <c r="G50" s="244" t="s">
        <v>66</v>
      </c>
    </row>
    <row r="51" spans="2:7" ht="28.8" x14ac:dyDescent="0.3">
      <c r="B51" s="337"/>
      <c r="C51" s="167" t="s">
        <v>67</v>
      </c>
      <c r="D51" s="93" t="s">
        <v>68</v>
      </c>
      <c r="E51" s="26" t="s">
        <v>2466</v>
      </c>
      <c r="F51" s="26" t="s">
        <v>2552</v>
      </c>
      <c r="G51" s="244" t="s">
        <v>4588</v>
      </c>
    </row>
    <row r="52" spans="2:7" ht="28.8" x14ac:dyDescent="0.3">
      <c r="B52" s="337"/>
      <c r="C52" s="167" t="s">
        <v>69</v>
      </c>
      <c r="D52" s="93"/>
      <c r="E52" s="26" t="s">
        <v>2466</v>
      </c>
      <c r="F52" s="26" t="s">
        <v>2552</v>
      </c>
      <c r="G52" s="244"/>
    </row>
    <row r="53" spans="2:7" ht="43.2" x14ac:dyDescent="0.3">
      <c r="B53" s="337"/>
      <c r="C53" s="167" t="s">
        <v>2453</v>
      </c>
      <c r="D53" s="93" t="s">
        <v>68</v>
      </c>
      <c r="E53" s="26" t="s">
        <v>2466</v>
      </c>
      <c r="F53" s="26" t="s">
        <v>2552</v>
      </c>
      <c r="G53" s="244" t="s">
        <v>70</v>
      </c>
    </row>
    <row r="54" spans="2:7" ht="28.8" x14ac:dyDescent="0.3">
      <c r="B54" s="337"/>
      <c r="C54" s="167" t="s">
        <v>71</v>
      </c>
      <c r="D54" s="93" t="s">
        <v>49</v>
      </c>
      <c r="E54" s="26" t="s">
        <v>10</v>
      </c>
      <c r="F54" s="26" t="s">
        <v>2551</v>
      </c>
      <c r="G54" s="245"/>
    </row>
    <row r="55" spans="2:7" ht="28.8" x14ac:dyDescent="0.3">
      <c r="B55" s="337"/>
      <c r="C55" s="167" t="s">
        <v>72</v>
      </c>
      <c r="D55" s="93" t="s">
        <v>49</v>
      </c>
      <c r="E55" s="26" t="s">
        <v>10</v>
      </c>
      <c r="F55" s="26" t="s">
        <v>2551</v>
      </c>
      <c r="G55" s="244" t="s">
        <v>73</v>
      </c>
    </row>
    <row r="56" spans="2:7" ht="28.8" x14ac:dyDescent="0.3">
      <c r="B56" s="337"/>
      <c r="C56" s="167" t="s">
        <v>74</v>
      </c>
      <c r="D56" s="93" t="s">
        <v>68</v>
      </c>
      <c r="E56" s="26" t="s">
        <v>2466</v>
      </c>
      <c r="F56" s="26" t="s">
        <v>2552</v>
      </c>
      <c r="G56" s="245"/>
    </row>
    <row r="57" spans="2:7" ht="28.8" x14ac:dyDescent="0.3">
      <c r="B57" s="337"/>
      <c r="C57" s="167" t="s">
        <v>75</v>
      </c>
      <c r="D57" s="93" t="s">
        <v>68</v>
      </c>
      <c r="E57" s="26" t="s">
        <v>2466</v>
      </c>
      <c r="F57" s="26" t="s">
        <v>2552</v>
      </c>
      <c r="G57" s="244" t="s">
        <v>4589</v>
      </c>
    </row>
    <row r="58" spans="2:7" ht="28.8" x14ac:dyDescent="0.3">
      <c r="B58" s="337"/>
      <c r="C58" s="167" t="s">
        <v>76</v>
      </c>
      <c r="D58" s="93" t="s">
        <v>68</v>
      </c>
      <c r="E58" s="26" t="s">
        <v>2466</v>
      </c>
      <c r="F58" s="26" t="s">
        <v>2552</v>
      </c>
      <c r="G58" s="244" t="s">
        <v>4590</v>
      </c>
    </row>
    <row r="59" spans="2:7" ht="28.8" x14ac:dyDescent="0.3">
      <c r="B59" s="337"/>
      <c r="C59" s="167" t="s">
        <v>77</v>
      </c>
      <c r="D59" s="93" t="s">
        <v>49</v>
      </c>
      <c r="E59" s="26" t="s">
        <v>10</v>
      </c>
      <c r="F59" s="26" t="s">
        <v>2551</v>
      </c>
      <c r="G59" s="245"/>
    </row>
    <row r="60" spans="2:7" ht="28.8" x14ac:dyDescent="0.3">
      <c r="B60" s="337"/>
      <c r="C60" s="167" t="s">
        <v>78</v>
      </c>
      <c r="D60" s="93" t="s">
        <v>49</v>
      </c>
      <c r="E60" s="26" t="s">
        <v>12</v>
      </c>
      <c r="F60" s="26" t="s">
        <v>2551</v>
      </c>
      <c r="G60" s="244" t="s">
        <v>4591</v>
      </c>
    </row>
    <row r="61" spans="2:7" ht="28.8" x14ac:dyDescent="0.3">
      <c r="B61" s="337"/>
      <c r="C61" s="148" t="s">
        <v>79</v>
      </c>
      <c r="D61" s="93" t="s">
        <v>80</v>
      </c>
      <c r="E61" s="26" t="s">
        <v>12</v>
      </c>
      <c r="F61" s="26" t="s">
        <v>2553</v>
      </c>
      <c r="G61" s="245"/>
    </row>
    <row r="62" spans="2:7" ht="28.8" x14ac:dyDescent="0.3">
      <c r="B62" s="337"/>
      <c r="C62" s="148" t="s">
        <v>81</v>
      </c>
      <c r="D62" s="93" t="s">
        <v>80</v>
      </c>
      <c r="E62" s="26" t="s">
        <v>12</v>
      </c>
      <c r="F62" s="26" t="s">
        <v>2553</v>
      </c>
      <c r="G62" s="244" t="s">
        <v>81</v>
      </c>
    </row>
    <row r="63" spans="2:7" ht="28.8" x14ac:dyDescent="0.3">
      <c r="B63" s="337"/>
      <c r="C63" s="148" t="s">
        <v>82</v>
      </c>
      <c r="D63" s="93" t="s">
        <v>80</v>
      </c>
      <c r="E63" s="26" t="s">
        <v>12</v>
      </c>
      <c r="F63" s="26" t="s">
        <v>2553</v>
      </c>
      <c r="G63" s="244" t="s">
        <v>82</v>
      </c>
    </row>
    <row r="64" spans="2:7" ht="29.4" thickBot="1" x14ac:dyDescent="0.35">
      <c r="B64" s="337"/>
      <c r="C64" s="149" t="s">
        <v>83</v>
      </c>
      <c r="D64" s="169" t="s">
        <v>80</v>
      </c>
      <c r="E64" s="192" t="s">
        <v>12</v>
      </c>
      <c r="F64" s="192" t="s">
        <v>2553</v>
      </c>
      <c r="G64" s="246" t="s">
        <v>83</v>
      </c>
    </row>
    <row r="65" spans="2:7" x14ac:dyDescent="0.3">
      <c r="B65"/>
      <c r="G65" s="26"/>
    </row>
    <row r="66" spans="2:7" ht="29.4" thickBot="1" x14ac:dyDescent="0.35">
      <c r="B66" s="154"/>
      <c r="C66" s="143" t="s">
        <v>5</v>
      </c>
      <c r="D66" s="143" t="s">
        <v>2463</v>
      </c>
      <c r="E66" s="143" t="s">
        <v>2464</v>
      </c>
      <c r="F66" s="143" t="s">
        <v>2454</v>
      </c>
      <c r="G66" s="247" t="s">
        <v>6</v>
      </c>
    </row>
    <row r="67" spans="2:7" x14ac:dyDescent="0.3">
      <c r="B67" s="347" t="s">
        <v>84</v>
      </c>
      <c r="C67" s="160" t="s">
        <v>85</v>
      </c>
      <c r="D67" s="161" t="s">
        <v>46</v>
      </c>
      <c r="E67" s="26" t="s">
        <v>10</v>
      </c>
      <c r="G67" s="248"/>
    </row>
    <row r="68" spans="2:7" ht="28.8" x14ac:dyDescent="0.3">
      <c r="B68" s="348"/>
      <c r="C68" s="162" t="s">
        <v>4583</v>
      </c>
      <c r="D68" s="93" t="s">
        <v>86</v>
      </c>
      <c r="E68" s="26" t="s">
        <v>2466</v>
      </c>
      <c r="F68" s="26" t="s">
        <v>2552</v>
      </c>
      <c r="G68" s="249" t="s">
        <v>4592</v>
      </c>
    </row>
    <row r="69" spans="2:7" ht="43.2" x14ac:dyDescent="0.3">
      <c r="B69" s="348"/>
      <c r="C69" s="162" t="s">
        <v>87</v>
      </c>
      <c r="D69" s="93" t="s">
        <v>86</v>
      </c>
      <c r="E69" s="26" t="s">
        <v>2466</v>
      </c>
      <c r="F69" s="26" t="s">
        <v>2552</v>
      </c>
      <c r="G69" s="249" t="s">
        <v>4593</v>
      </c>
    </row>
    <row r="70" spans="2:7" ht="28.8" x14ac:dyDescent="0.3">
      <c r="B70" s="348"/>
      <c r="C70" s="162" t="s">
        <v>88</v>
      </c>
      <c r="D70" s="93" t="s">
        <v>46</v>
      </c>
      <c r="E70" s="26" t="s">
        <v>2466</v>
      </c>
      <c r="G70" s="249" t="s">
        <v>4594</v>
      </c>
    </row>
    <row r="71" spans="2:7" x14ac:dyDescent="0.3">
      <c r="B71" s="348"/>
      <c r="C71" s="163" t="s">
        <v>89</v>
      </c>
      <c r="D71" s="93" t="s">
        <v>46</v>
      </c>
      <c r="E71" s="26" t="s">
        <v>10</v>
      </c>
      <c r="G71" s="250"/>
    </row>
    <row r="72" spans="2:7" ht="28.8" x14ac:dyDescent="0.3">
      <c r="B72" s="348"/>
      <c r="C72" s="163" t="s">
        <v>90</v>
      </c>
      <c r="D72" s="93" t="s">
        <v>46</v>
      </c>
      <c r="E72" s="26" t="s">
        <v>2466</v>
      </c>
      <c r="G72" s="249" t="s">
        <v>91</v>
      </c>
    </row>
    <row r="73" spans="2:7" ht="28.8" x14ac:dyDescent="0.3">
      <c r="B73" s="348"/>
      <c r="C73" s="163" t="s">
        <v>92</v>
      </c>
      <c r="D73" s="93" t="s">
        <v>46</v>
      </c>
      <c r="E73" s="26" t="s">
        <v>10</v>
      </c>
      <c r="G73" s="249" t="s">
        <v>93</v>
      </c>
    </row>
    <row r="74" spans="2:7" ht="28.8" x14ac:dyDescent="0.3">
      <c r="B74" s="348"/>
      <c r="C74" s="163" t="s">
        <v>94</v>
      </c>
      <c r="D74" s="93" t="s">
        <v>9</v>
      </c>
      <c r="E74" s="26" t="s">
        <v>2466</v>
      </c>
      <c r="G74" s="249" t="s">
        <v>95</v>
      </c>
    </row>
    <row r="75" spans="2:7" x14ac:dyDescent="0.3">
      <c r="B75" s="348"/>
      <c r="C75" s="162" t="s">
        <v>96</v>
      </c>
      <c r="D75" s="93" t="s">
        <v>9</v>
      </c>
      <c r="E75" s="26" t="s">
        <v>2466</v>
      </c>
      <c r="G75" s="250"/>
    </row>
    <row r="76" spans="2:7" ht="28.8" x14ac:dyDescent="0.3">
      <c r="B76" s="348"/>
      <c r="C76" s="162" t="s">
        <v>97</v>
      </c>
      <c r="D76" s="93" t="s">
        <v>9</v>
      </c>
      <c r="E76" s="26" t="s">
        <v>2466</v>
      </c>
      <c r="G76" s="251" t="s">
        <v>98</v>
      </c>
    </row>
    <row r="77" spans="2:7" ht="28.8" x14ac:dyDescent="0.3">
      <c r="B77" s="348"/>
      <c r="C77" s="162" t="s">
        <v>99</v>
      </c>
      <c r="D77" s="93" t="s">
        <v>9</v>
      </c>
      <c r="E77" s="26" t="s">
        <v>2466</v>
      </c>
      <c r="G77" s="251" t="s">
        <v>100</v>
      </c>
    </row>
    <row r="78" spans="2:7" x14ac:dyDescent="0.3">
      <c r="B78" s="348"/>
      <c r="C78" s="162" t="s">
        <v>101</v>
      </c>
      <c r="D78" s="93" t="s">
        <v>9</v>
      </c>
      <c r="E78" s="26" t="s">
        <v>2466</v>
      </c>
      <c r="G78" s="251" t="s">
        <v>4595</v>
      </c>
    </row>
    <row r="79" spans="2:7" ht="15" thickBot="1" x14ac:dyDescent="0.35">
      <c r="B79" s="348"/>
      <c r="C79" s="164" t="s">
        <v>102</v>
      </c>
      <c r="D79" s="165" t="s">
        <v>9</v>
      </c>
      <c r="E79" s="231" t="s">
        <v>2466</v>
      </c>
      <c r="F79" s="190"/>
      <c r="G79" s="252" t="s">
        <v>4596</v>
      </c>
    </row>
    <row r="80" spans="2:7" x14ac:dyDescent="0.3">
      <c r="B80" s="34"/>
      <c r="G80" s="26"/>
    </row>
    <row r="81" spans="2:7" ht="29.4" thickBot="1" x14ac:dyDescent="0.35">
      <c r="B81" s="34"/>
      <c r="C81" s="145" t="s">
        <v>5</v>
      </c>
      <c r="D81" s="145" t="s">
        <v>2463</v>
      </c>
      <c r="E81" s="145" t="s">
        <v>2464</v>
      </c>
      <c r="F81" s="145" t="s">
        <v>2454</v>
      </c>
      <c r="G81" s="253" t="s">
        <v>6</v>
      </c>
    </row>
    <row r="82" spans="2:7" ht="14.4" customHeight="1" x14ac:dyDescent="0.3">
      <c r="B82" s="333" t="s">
        <v>103</v>
      </c>
      <c r="C82" s="178" t="s">
        <v>104</v>
      </c>
      <c r="D82" s="179" t="s">
        <v>105</v>
      </c>
      <c r="E82" s="26" t="s">
        <v>10</v>
      </c>
      <c r="F82" s="189"/>
      <c r="G82" s="254"/>
    </row>
    <row r="83" spans="2:7" ht="28.8" x14ac:dyDescent="0.3">
      <c r="B83" s="334"/>
      <c r="C83" s="180" t="s">
        <v>106</v>
      </c>
      <c r="D83" s="93" t="s">
        <v>105</v>
      </c>
      <c r="E83" s="26" t="s">
        <v>10</v>
      </c>
      <c r="G83" s="255" t="s">
        <v>4597</v>
      </c>
    </row>
    <row r="84" spans="2:7" x14ac:dyDescent="0.3">
      <c r="B84" s="334"/>
      <c r="C84" s="180" t="s">
        <v>107</v>
      </c>
      <c r="D84" s="93" t="s">
        <v>108</v>
      </c>
      <c r="E84" s="26" t="s">
        <v>10</v>
      </c>
      <c r="G84" s="256"/>
    </row>
    <row r="85" spans="2:7" ht="28.8" x14ac:dyDescent="0.3">
      <c r="B85" s="334"/>
      <c r="C85" s="180" t="s">
        <v>109</v>
      </c>
      <c r="D85" s="93" t="s">
        <v>108</v>
      </c>
      <c r="E85" s="26" t="s">
        <v>10</v>
      </c>
      <c r="G85" s="255" t="s">
        <v>110</v>
      </c>
    </row>
    <row r="86" spans="2:7" ht="28.8" x14ac:dyDescent="0.3">
      <c r="B86" s="334"/>
      <c r="C86" s="180" t="s">
        <v>111</v>
      </c>
      <c r="D86" s="93" t="s">
        <v>112</v>
      </c>
      <c r="E86" s="26" t="s">
        <v>12</v>
      </c>
      <c r="G86" s="255" t="s">
        <v>113</v>
      </c>
    </row>
    <row r="87" spans="2:7" ht="28.8" x14ac:dyDescent="0.3">
      <c r="B87" s="334"/>
      <c r="C87" s="181" t="s">
        <v>2483</v>
      </c>
      <c r="D87" s="93" t="s">
        <v>114</v>
      </c>
      <c r="E87" s="26" t="s">
        <v>10</v>
      </c>
      <c r="G87" s="257" t="s">
        <v>115</v>
      </c>
    </row>
    <row r="88" spans="2:7" ht="57.6" x14ac:dyDescent="0.3">
      <c r="B88" s="334"/>
      <c r="C88" s="181" t="s">
        <v>116</v>
      </c>
      <c r="D88" s="93" t="s">
        <v>114</v>
      </c>
      <c r="E88" s="26" t="s">
        <v>10</v>
      </c>
      <c r="F88" s="26" t="s">
        <v>2554</v>
      </c>
      <c r="G88" s="257"/>
    </row>
    <row r="89" spans="2:7" ht="57.6" x14ac:dyDescent="0.3">
      <c r="B89" s="334"/>
      <c r="C89" s="181" t="s">
        <v>2476</v>
      </c>
      <c r="D89" s="93" t="s">
        <v>114</v>
      </c>
      <c r="E89" s="26" t="s">
        <v>10</v>
      </c>
      <c r="F89" s="26" t="s">
        <v>2554</v>
      </c>
      <c r="G89" s="257" t="s">
        <v>117</v>
      </c>
    </row>
    <row r="90" spans="2:7" ht="57.6" x14ac:dyDescent="0.3">
      <c r="B90" s="334"/>
      <c r="C90" s="181" t="s">
        <v>2475</v>
      </c>
      <c r="D90" s="93" t="s">
        <v>114</v>
      </c>
      <c r="E90" s="26" t="s">
        <v>10</v>
      </c>
      <c r="F90" s="26" t="s">
        <v>2554</v>
      </c>
      <c r="G90" s="257" t="s">
        <v>117</v>
      </c>
    </row>
    <row r="91" spans="2:7" ht="28.8" x14ac:dyDescent="0.3">
      <c r="B91" s="334"/>
      <c r="C91" s="181" t="s">
        <v>118</v>
      </c>
      <c r="D91" s="93" t="s">
        <v>112</v>
      </c>
      <c r="E91" s="26" t="s">
        <v>2466</v>
      </c>
      <c r="G91" s="255" t="s">
        <v>119</v>
      </c>
    </row>
    <row r="92" spans="2:7" ht="28.8" x14ac:dyDescent="0.3">
      <c r="B92" s="334"/>
      <c r="C92" s="181" t="s">
        <v>120</v>
      </c>
      <c r="D92" s="93" t="s">
        <v>121</v>
      </c>
      <c r="E92" s="26" t="s">
        <v>10</v>
      </c>
      <c r="G92" s="257" t="s">
        <v>122</v>
      </c>
    </row>
    <row r="93" spans="2:7" ht="28.8" x14ac:dyDescent="0.3">
      <c r="B93" s="334"/>
      <c r="C93" s="181" t="s">
        <v>123</v>
      </c>
      <c r="D93" s="93" t="s">
        <v>124</v>
      </c>
      <c r="E93" s="26" t="s">
        <v>10</v>
      </c>
      <c r="G93" s="257" t="s">
        <v>4598</v>
      </c>
    </row>
    <row r="94" spans="2:7" ht="28.8" x14ac:dyDescent="0.3">
      <c r="B94" s="334"/>
      <c r="C94" s="181" t="s">
        <v>125</v>
      </c>
      <c r="D94" s="93" t="s">
        <v>124</v>
      </c>
      <c r="E94" s="26" t="s">
        <v>10</v>
      </c>
      <c r="G94" s="257"/>
    </row>
    <row r="95" spans="2:7" x14ac:dyDescent="0.3">
      <c r="B95" s="334"/>
      <c r="C95" s="181" t="s">
        <v>126</v>
      </c>
      <c r="D95" s="93" t="s">
        <v>127</v>
      </c>
      <c r="E95" s="26" t="s">
        <v>10</v>
      </c>
      <c r="G95" s="256"/>
    </row>
    <row r="96" spans="2:7" x14ac:dyDescent="0.3">
      <c r="B96" s="334"/>
      <c r="C96" s="181" t="s">
        <v>128</v>
      </c>
      <c r="D96" s="93" t="s">
        <v>127</v>
      </c>
      <c r="E96" s="26" t="s">
        <v>10</v>
      </c>
      <c r="G96" s="255" t="s">
        <v>129</v>
      </c>
    </row>
    <row r="97" spans="2:7" ht="28.8" x14ac:dyDescent="0.3">
      <c r="B97" s="334"/>
      <c r="C97" s="181" t="s">
        <v>130</v>
      </c>
      <c r="D97" s="93" t="s">
        <v>112</v>
      </c>
      <c r="E97" s="26" t="s">
        <v>10</v>
      </c>
      <c r="G97" s="255" t="s">
        <v>131</v>
      </c>
    </row>
    <row r="98" spans="2:7" ht="28.8" x14ac:dyDescent="0.3">
      <c r="B98" s="334"/>
      <c r="C98" s="181" t="s">
        <v>132</v>
      </c>
      <c r="D98" s="93" t="s">
        <v>127</v>
      </c>
      <c r="E98" s="26" t="s">
        <v>2466</v>
      </c>
      <c r="G98" s="257" t="s">
        <v>133</v>
      </c>
    </row>
    <row r="99" spans="2:7" x14ac:dyDescent="0.3">
      <c r="B99" s="334"/>
      <c r="C99" s="181" t="s">
        <v>134</v>
      </c>
      <c r="D99" s="93" t="s">
        <v>127</v>
      </c>
      <c r="E99" s="26" t="s">
        <v>2466</v>
      </c>
      <c r="G99" s="256"/>
    </row>
    <row r="100" spans="2:7" ht="28.8" x14ac:dyDescent="0.3">
      <c r="B100" s="334"/>
      <c r="C100" s="181" t="s">
        <v>135</v>
      </c>
      <c r="D100" s="93" t="s">
        <v>112</v>
      </c>
      <c r="E100" s="26" t="s">
        <v>12</v>
      </c>
      <c r="G100" s="257" t="s">
        <v>136</v>
      </c>
    </row>
    <row r="101" spans="2:7" ht="43.2" x14ac:dyDescent="0.3">
      <c r="B101" s="334"/>
      <c r="C101" s="341" t="s">
        <v>137</v>
      </c>
      <c r="D101" s="93" t="s">
        <v>112</v>
      </c>
      <c r="E101" s="26" t="s">
        <v>10</v>
      </c>
      <c r="F101" s="26" t="s">
        <v>2555</v>
      </c>
      <c r="G101" s="257" t="s">
        <v>138</v>
      </c>
    </row>
    <row r="102" spans="2:7" ht="28.8" x14ac:dyDescent="0.3">
      <c r="B102" s="334"/>
      <c r="C102" s="342"/>
      <c r="D102" s="93" t="s">
        <v>112</v>
      </c>
      <c r="E102" s="26" t="s">
        <v>10</v>
      </c>
      <c r="G102" s="257" t="s">
        <v>139</v>
      </c>
    </row>
    <row r="103" spans="2:7" ht="28.8" x14ac:dyDescent="0.3">
      <c r="B103" s="334"/>
      <c r="C103" s="157" t="s">
        <v>140</v>
      </c>
      <c r="D103" s="93" t="s">
        <v>141</v>
      </c>
      <c r="E103" s="26" t="s">
        <v>10</v>
      </c>
      <c r="G103" s="258"/>
    </row>
    <row r="104" spans="2:7" ht="28.8" x14ac:dyDescent="0.3">
      <c r="B104" s="334"/>
      <c r="C104" s="157" t="s">
        <v>142</v>
      </c>
      <c r="D104" s="93" t="s">
        <v>143</v>
      </c>
      <c r="E104" s="26" t="s">
        <v>10</v>
      </c>
      <c r="F104" s="26" t="s">
        <v>2556</v>
      </c>
      <c r="G104" s="258"/>
    </row>
    <row r="105" spans="2:7" ht="28.8" x14ac:dyDescent="0.3">
      <c r="B105" s="334"/>
      <c r="C105" s="181" t="s">
        <v>144</v>
      </c>
      <c r="D105" s="93" t="s">
        <v>112</v>
      </c>
      <c r="E105" s="26" t="s">
        <v>2466</v>
      </c>
      <c r="F105" s="26" t="s">
        <v>2552</v>
      </c>
      <c r="G105" s="256"/>
    </row>
    <row r="106" spans="2:7" ht="28.8" x14ac:dyDescent="0.3">
      <c r="B106" s="335"/>
      <c r="C106" s="343" t="s">
        <v>145</v>
      </c>
      <c r="D106" s="328" t="s">
        <v>112</v>
      </c>
      <c r="E106" s="328" t="s">
        <v>2466</v>
      </c>
      <c r="F106" s="328" t="s">
        <v>2552</v>
      </c>
      <c r="G106" s="257" t="s">
        <v>4599</v>
      </c>
    </row>
    <row r="107" spans="2:7" ht="28.8" x14ac:dyDescent="0.3">
      <c r="B107" s="334"/>
      <c r="C107" s="328"/>
      <c r="D107" s="328"/>
      <c r="E107" s="328"/>
      <c r="F107" s="328"/>
      <c r="G107" s="257" t="s">
        <v>146</v>
      </c>
    </row>
    <row r="108" spans="2:7" ht="28.8" x14ac:dyDescent="0.3">
      <c r="B108" s="334"/>
      <c r="C108" s="328"/>
      <c r="D108" s="328"/>
      <c r="E108" s="328"/>
      <c r="F108" s="328"/>
      <c r="G108" s="257" t="s">
        <v>147</v>
      </c>
    </row>
    <row r="109" spans="2:7" ht="29.4" thickBot="1" x14ac:dyDescent="0.35">
      <c r="B109" s="334"/>
      <c r="C109" s="344"/>
      <c r="D109" s="344"/>
      <c r="E109" s="345"/>
      <c r="F109" s="344"/>
      <c r="G109" s="259" t="s">
        <v>148</v>
      </c>
    </row>
    <row r="110" spans="2:7" x14ac:dyDescent="0.3">
      <c r="B110" s="34"/>
      <c r="G110" s="26"/>
    </row>
    <row r="111" spans="2:7" ht="15" thickBot="1" x14ac:dyDescent="0.35">
      <c r="B111" s="34"/>
      <c r="C111" s="260" t="s">
        <v>149</v>
      </c>
      <c r="D111" s="323" t="s">
        <v>150</v>
      </c>
      <c r="E111" s="323"/>
      <c r="F111" s="323" t="s">
        <v>151</v>
      </c>
      <c r="G111" s="324"/>
    </row>
    <row r="112" spans="2:7" ht="28.95" customHeight="1" x14ac:dyDescent="0.3">
      <c r="B112" s="329" t="s">
        <v>152</v>
      </c>
      <c r="C112" s="325" t="s">
        <v>153</v>
      </c>
      <c r="D112" s="326"/>
      <c r="E112" s="326"/>
      <c r="F112" s="326"/>
      <c r="G112" s="327"/>
    </row>
    <row r="113" spans="2:7" ht="45" customHeight="1" x14ac:dyDescent="0.3">
      <c r="B113" s="330"/>
      <c r="C113" s="150" t="s">
        <v>154</v>
      </c>
      <c r="D113" s="321" t="s">
        <v>2537</v>
      </c>
      <c r="E113" s="321"/>
      <c r="F113" s="321" t="s">
        <v>2517</v>
      </c>
      <c r="G113" s="322"/>
    </row>
    <row r="114" spans="2:7" ht="42.6" customHeight="1" x14ac:dyDescent="0.3">
      <c r="B114" s="330"/>
      <c r="C114" s="150" t="s">
        <v>2438</v>
      </c>
      <c r="D114" s="328" t="s">
        <v>2441</v>
      </c>
      <c r="E114" s="328"/>
      <c r="F114" s="321" t="s">
        <v>2517</v>
      </c>
      <c r="G114" s="322"/>
    </row>
    <row r="115" spans="2:7" ht="43.2" customHeight="1" x14ac:dyDescent="0.3">
      <c r="B115" s="330"/>
      <c r="C115" s="150" t="s">
        <v>2448</v>
      </c>
      <c r="D115" s="321" t="s">
        <v>2518</v>
      </c>
      <c r="E115" s="321"/>
      <c r="F115" s="321" t="s">
        <v>2523</v>
      </c>
      <c r="G115" s="322"/>
    </row>
    <row r="116" spans="2:7" ht="43.2" customHeight="1" x14ac:dyDescent="0.3">
      <c r="B116" s="330"/>
      <c r="C116" s="150" t="s">
        <v>155</v>
      </c>
      <c r="D116" s="321" t="s">
        <v>156</v>
      </c>
      <c r="E116" s="321"/>
      <c r="F116" s="321" t="s">
        <v>2519</v>
      </c>
      <c r="G116" s="322"/>
    </row>
    <row r="117" spans="2:7" x14ac:dyDescent="0.3">
      <c r="B117" s="330"/>
      <c r="C117" s="150" t="s">
        <v>157</v>
      </c>
      <c r="D117" s="321" t="s">
        <v>158</v>
      </c>
      <c r="E117" s="321"/>
      <c r="F117" s="321" t="s">
        <v>2519</v>
      </c>
      <c r="G117" s="322"/>
    </row>
    <row r="118" spans="2:7" x14ac:dyDescent="0.3">
      <c r="B118" s="330"/>
      <c r="C118" s="150" t="s">
        <v>159</v>
      </c>
      <c r="D118" s="321" t="s">
        <v>160</v>
      </c>
      <c r="E118" s="321"/>
      <c r="F118" s="321" t="s">
        <v>2520</v>
      </c>
      <c r="G118" s="322"/>
    </row>
    <row r="119" spans="2:7" x14ac:dyDescent="0.3">
      <c r="B119" s="330"/>
      <c r="C119" s="150" t="s">
        <v>161</v>
      </c>
      <c r="D119" s="321" t="s">
        <v>162</v>
      </c>
      <c r="E119" s="321"/>
      <c r="F119" s="321" t="s">
        <v>2520</v>
      </c>
      <c r="G119" s="322"/>
    </row>
    <row r="120" spans="2:7" x14ac:dyDescent="0.3">
      <c r="B120" s="330"/>
      <c r="C120" s="150" t="s">
        <v>163</v>
      </c>
      <c r="D120" s="321" t="s">
        <v>164</v>
      </c>
      <c r="E120" s="321"/>
      <c r="F120" s="321" t="s">
        <v>2520</v>
      </c>
      <c r="G120" s="322"/>
    </row>
    <row r="121" spans="2:7" ht="27" customHeight="1" x14ac:dyDescent="0.3">
      <c r="B121" s="330"/>
      <c r="C121" s="150" t="s">
        <v>165</v>
      </c>
      <c r="D121" s="321" t="s">
        <v>2521</v>
      </c>
      <c r="E121" s="321"/>
      <c r="F121" s="321" t="s">
        <v>2526</v>
      </c>
      <c r="G121" s="322"/>
    </row>
    <row r="122" spans="2:7" ht="31.2" customHeight="1" x14ac:dyDescent="0.3">
      <c r="B122" s="330"/>
      <c r="C122" s="168" t="s">
        <v>166</v>
      </c>
      <c r="D122" s="321" t="s">
        <v>2522</v>
      </c>
      <c r="E122" s="321"/>
      <c r="F122" s="321" t="s">
        <v>2525</v>
      </c>
      <c r="G122" s="322"/>
    </row>
    <row r="123" spans="2:7" ht="31.2" customHeight="1" x14ac:dyDescent="0.3">
      <c r="B123" s="330"/>
      <c r="C123" s="168" t="s">
        <v>167</v>
      </c>
      <c r="D123" s="321" t="s">
        <v>168</v>
      </c>
      <c r="E123" s="321"/>
      <c r="F123" s="321" t="s">
        <v>2524</v>
      </c>
      <c r="G123" s="322"/>
    </row>
    <row r="124" spans="2:7" ht="30" customHeight="1" thickBot="1" x14ac:dyDescent="0.35">
      <c r="B124" s="330"/>
      <c r="C124" s="232" t="s">
        <v>2514</v>
      </c>
      <c r="D124" s="338" t="s">
        <v>2528</v>
      </c>
      <c r="E124" s="338"/>
      <c r="F124" s="338" t="s">
        <v>2527</v>
      </c>
      <c r="G124" s="346"/>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2110</v>
      </c>
      <c r="C1" s="373"/>
      <c r="D1" s="373"/>
      <c r="E1" s="373"/>
      <c r="F1" s="373"/>
      <c r="G1" s="373"/>
    </row>
    <row r="2" spans="1:25" x14ac:dyDescent="0.3">
      <c r="A2" t="s">
        <v>172</v>
      </c>
      <c r="B2" s="375" t="str">
        <f>Population!B3</f>
        <v>City of Madera</v>
      </c>
      <c r="C2" s="375"/>
      <c r="D2" s="375"/>
      <c r="E2" s="375"/>
      <c r="F2" s="375"/>
      <c r="G2" s="375"/>
      <c r="H2" s="375"/>
      <c r="I2" s="375"/>
      <c r="J2" s="375" t="str">
        <f>Population!B4</f>
        <v>Madera County</v>
      </c>
      <c r="K2" s="375"/>
      <c r="L2" s="375"/>
      <c r="M2" s="375"/>
      <c r="N2" s="375"/>
      <c r="O2" s="375"/>
      <c r="P2" s="375"/>
      <c r="Q2" s="375"/>
      <c r="R2" s="375" t="s">
        <v>173</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2111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2112</v>
      </c>
      <c r="B5" s="14">
        <v>3743.1434676138897</v>
      </c>
      <c r="C5" t="s">
        <v>172</v>
      </c>
      <c r="D5" t="s">
        <v>172</v>
      </c>
      <c r="E5" t="s">
        <v>172</v>
      </c>
      <c r="F5" t="s">
        <v>172</v>
      </c>
      <c r="G5" t="s">
        <v>172</v>
      </c>
      <c r="H5" t="s">
        <v>172</v>
      </c>
      <c r="I5" t="s">
        <v>172</v>
      </c>
      <c r="J5" s="14">
        <v>70.5993452179505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2113</v>
      </c>
      <c r="B6" s="14">
        <v>4019.7724534136401</v>
      </c>
      <c r="C6" t="s">
        <v>172</v>
      </c>
      <c r="D6" t="s">
        <v>172</v>
      </c>
      <c r="E6" t="s">
        <v>172</v>
      </c>
      <c r="F6" t="s">
        <v>172</v>
      </c>
      <c r="G6" t="s">
        <v>172</v>
      </c>
      <c r="H6" t="s">
        <v>172</v>
      </c>
      <c r="I6" t="s">
        <v>172</v>
      </c>
      <c r="J6" s="14">
        <v>73.121669618737599</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2114</v>
      </c>
      <c r="B7" s="14">
        <v>276.62898579974302</v>
      </c>
      <c r="C7" t="s">
        <v>172</v>
      </c>
      <c r="D7" t="s">
        <v>172</v>
      </c>
      <c r="E7" t="s">
        <v>172</v>
      </c>
      <c r="F7" t="s">
        <v>172</v>
      </c>
      <c r="G7" t="s">
        <v>172</v>
      </c>
      <c r="H7" t="s">
        <v>172</v>
      </c>
      <c r="I7" t="s">
        <v>172</v>
      </c>
      <c r="J7" s="14">
        <v>2.5223244007871002</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2115</v>
      </c>
      <c r="B8" s="307">
        <v>7.3902854163397411E-2</v>
      </c>
      <c r="C8" t="s">
        <v>172</v>
      </c>
      <c r="D8" t="s">
        <v>172</v>
      </c>
      <c r="E8" t="s">
        <v>172</v>
      </c>
      <c r="F8" t="s">
        <v>172</v>
      </c>
      <c r="G8" t="s">
        <v>172</v>
      </c>
      <c r="H8" t="s">
        <v>172</v>
      </c>
      <c r="I8" t="s">
        <v>172</v>
      </c>
      <c r="J8" s="307">
        <v>3.5727305869485304E-2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2116</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2117</v>
      </c>
      <c r="B11" s="2">
        <v>66224</v>
      </c>
      <c r="C11" t="s">
        <v>172</v>
      </c>
      <c r="D11" t="s">
        <v>172</v>
      </c>
      <c r="E11" t="s">
        <v>172</v>
      </c>
      <c r="F11" t="s">
        <v>172</v>
      </c>
      <c r="G11" t="s">
        <v>172</v>
      </c>
      <c r="H11" t="s">
        <v>172</v>
      </c>
      <c r="I11" t="s">
        <v>172</v>
      </c>
      <c r="J11" s="2">
        <v>156255</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2118</v>
      </c>
      <c r="B12" s="2">
        <v>4557.3420306527705</v>
      </c>
      <c r="C12" t="s">
        <v>172</v>
      </c>
      <c r="D12" t="s">
        <v>172</v>
      </c>
      <c r="E12" t="s">
        <v>172</v>
      </c>
      <c r="F12" t="s">
        <v>172</v>
      </c>
      <c r="G12" t="s">
        <v>172</v>
      </c>
      <c r="H12" t="s">
        <v>172</v>
      </c>
      <c r="I12" t="s">
        <v>172</v>
      </c>
      <c r="J12" s="2">
        <v>5389.99999999991</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2119</v>
      </c>
      <c r="B13" s="307">
        <v>7.39028541633973E-2</v>
      </c>
      <c r="C13" t="s">
        <v>172</v>
      </c>
      <c r="D13" t="s">
        <v>172</v>
      </c>
      <c r="E13" t="s">
        <v>172</v>
      </c>
      <c r="F13" t="s">
        <v>172</v>
      </c>
      <c r="G13" t="s">
        <v>172</v>
      </c>
      <c r="H13" t="s">
        <v>172</v>
      </c>
      <c r="I13" t="s">
        <v>172</v>
      </c>
      <c r="J13" s="307">
        <v>3.5727305869485401E-2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2120</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2117</v>
      </c>
      <c r="C16" s="304"/>
      <c r="D16" s="304" t="s">
        <v>2121</v>
      </c>
      <c r="E16" s="304"/>
      <c r="F16" s="304" t="s">
        <v>4604</v>
      </c>
      <c r="G16" s="304"/>
      <c r="H16" s="304" t="s">
        <v>4605</v>
      </c>
      <c r="I16" s="304"/>
      <c r="J16" s="304" t="s">
        <v>2117</v>
      </c>
      <c r="K16" s="304"/>
      <c r="L16" s="304" t="s">
        <v>2121</v>
      </c>
      <c r="M16" s="304"/>
      <c r="N16" s="304" t="s">
        <v>4604</v>
      </c>
      <c r="O16" s="304"/>
      <c r="P16" s="304" t="s">
        <v>4605</v>
      </c>
      <c r="Q16" s="304"/>
      <c r="R16" s="212" t="s">
        <v>2117</v>
      </c>
      <c r="S16" s="212"/>
      <c r="T16" s="212" t="s">
        <v>2121</v>
      </c>
      <c r="U16" s="212"/>
      <c r="V16" s="212" t="s">
        <v>2122</v>
      </c>
      <c r="W16" s="212"/>
      <c r="X16" s="212" t="s">
        <v>2123</v>
      </c>
      <c r="Y16" s="212"/>
    </row>
    <row r="17" spans="1:25" x14ac:dyDescent="0.3">
      <c r="A17" t="s">
        <v>170</v>
      </c>
      <c r="B17" s="2">
        <v>66224</v>
      </c>
      <c r="C17" t="s">
        <v>172</v>
      </c>
      <c r="D17" s="2">
        <v>61666.65796934723</v>
      </c>
      <c r="E17" t="s">
        <v>172</v>
      </c>
      <c r="F17" s="2">
        <v>4557.3420306527705</v>
      </c>
      <c r="G17" t="s">
        <v>172</v>
      </c>
      <c r="H17" s="307">
        <v>7.39028541633973E-2</v>
      </c>
      <c r="I17" t="s">
        <v>172</v>
      </c>
      <c r="J17" s="2">
        <v>156255</v>
      </c>
      <c r="K17" t="s">
        <v>172</v>
      </c>
      <c r="L17" s="2">
        <v>150865.00000000009</v>
      </c>
      <c r="M17" t="s">
        <v>172</v>
      </c>
      <c r="N17" s="2">
        <v>5389.99999999991</v>
      </c>
      <c r="O17" t="s">
        <v>172</v>
      </c>
      <c r="P17" s="307">
        <v>3.5727305869485401E-2</v>
      </c>
      <c r="Q17" t="s">
        <v>172</v>
      </c>
      <c r="R17" s="2">
        <v>39538223</v>
      </c>
      <c r="S17" s="27"/>
      <c r="T17" s="2">
        <v>37253955.52834785</v>
      </c>
      <c r="U17" s="27"/>
      <c r="V17" s="2">
        <v>2284267.4716521502</v>
      </c>
      <c r="W17" s="27"/>
      <c r="X17" s="185">
        <v>6.1316105612301205E-2</v>
      </c>
      <c r="Y17" s="27"/>
    </row>
    <row r="18" spans="1:25" x14ac:dyDescent="0.3">
      <c r="A18" t="s">
        <v>2124</v>
      </c>
      <c r="B18" s="2">
        <v>12753</v>
      </c>
      <c r="C18" t="s">
        <v>172</v>
      </c>
      <c r="D18" s="2">
        <v>14417.382541994199</v>
      </c>
      <c r="E18" t="s">
        <v>172</v>
      </c>
      <c r="F18" s="2">
        <v>-1664.38254199424</v>
      </c>
      <c r="G18" t="s">
        <v>172</v>
      </c>
      <c r="H18" s="307">
        <v>-0.11544276758602401</v>
      </c>
      <c r="I18" t="s">
        <v>172</v>
      </c>
      <c r="J18" s="2">
        <v>63077</v>
      </c>
      <c r="K18" t="s">
        <v>172</v>
      </c>
      <c r="L18" s="2">
        <v>69873</v>
      </c>
      <c r="M18" t="s">
        <v>172</v>
      </c>
      <c r="N18" s="2">
        <v>-6796</v>
      </c>
      <c r="O18" t="s">
        <v>172</v>
      </c>
      <c r="P18" s="307">
        <v>-9.7262175661557398E-2</v>
      </c>
      <c r="Q18" t="s">
        <v>172</v>
      </c>
      <c r="R18" s="2">
        <v>23958571</v>
      </c>
      <c r="S18" s="27"/>
      <c r="T18" s="2">
        <v>23240235.875387099</v>
      </c>
      <c r="U18" s="27"/>
      <c r="V18" s="2">
        <v>718335.12461294595</v>
      </c>
      <c r="W18" s="27"/>
      <c r="X18" s="185">
        <v>3.0909115056517594E-2</v>
      </c>
      <c r="Y18" s="27"/>
    </row>
    <row r="19" spans="1:25" x14ac:dyDescent="0.3">
      <c r="A19" t="s">
        <v>2125</v>
      </c>
      <c r="B19" s="2">
        <v>8075</v>
      </c>
      <c r="C19" t="s">
        <v>172</v>
      </c>
      <c r="D19" s="2">
        <v>10475.212575834301</v>
      </c>
      <c r="E19" t="s">
        <v>172</v>
      </c>
      <c r="F19" s="2">
        <v>-2400.2125758342604</v>
      </c>
      <c r="G19" t="s">
        <v>172</v>
      </c>
      <c r="H19" s="307">
        <v>-0.229132588809836</v>
      </c>
      <c r="I19" t="s">
        <v>172</v>
      </c>
      <c r="J19" s="2">
        <v>48399</v>
      </c>
      <c r="K19" t="s">
        <v>172</v>
      </c>
      <c r="L19" s="2">
        <v>57380</v>
      </c>
      <c r="M19" t="s">
        <v>172</v>
      </c>
      <c r="N19" s="2">
        <v>-8981</v>
      </c>
      <c r="O19" t="s">
        <v>172</v>
      </c>
      <c r="P19" s="307">
        <v>-0.15651795050540301</v>
      </c>
      <c r="Q19" t="s">
        <v>172</v>
      </c>
      <c r="R19" s="2">
        <v>13714587</v>
      </c>
      <c r="S19" s="27"/>
      <c r="T19" s="2">
        <v>14956251.819628602</v>
      </c>
      <c r="U19" s="27"/>
      <c r="V19" s="2">
        <v>-1241664.8196286201</v>
      </c>
      <c r="W19" s="27"/>
      <c r="X19" s="185">
        <v>-8.3019785612265196E-2</v>
      </c>
      <c r="Y19" s="27"/>
    </row>
    <row r="20" spans="1:25" x14ac:dyDescent="0.3">
      <c r="A20" t="s">
        <v>2126</v>
      </c>
      <c r="B20" s="2">
        <v>1481</v>
      </c>
      <c r="C20" t="s">
        <v>172</v>
      </c>
      <c r="D20" s="2">
        <v>1684.7903051477999</v>
      </c>
      <c r="E20" t="s">
        <v>172</v>
      </c>
      <c r="F20" s="2">
        <v>-203.790305147803</v>
      </c>
      <c r="G20" t="s">
        <v>172</v>
      </c>
      <c r="H20" s="307">
        <v>-0.12095885436017198</v>
      </c>
      <c r="I20" t="s">
        <v>172</v>
      </c>
      <c r="J20" s="2">
        <v>4131</v>
      </c>
      <c r="K20" t="s">
        <v>172</v>
      </c>
      <c r="L20" s="2">
        <v>5009</v>
      </c>
      <c r="M20" t="s">
        <v>172</v>
      </c>
      <c r="N20" s="2">
        <v>-878.00000000000102</v>
      </c>
      <c r="O20" t="s">
        <v>172</v>
      </c>
      <c r="P20" s="307">
        <v>-0.17528448792174101</v>
      </c>
      <c r="Q20" t="s">
        <v>172</v>
      </c>
      <c r="R20" s="2">
        <v>2119286</v>
      </c>
      <c r="S20" s="27"/>
      <c r="T20" s="2">
        <v>2163804.0000000298</v>
      </c>
      <c r="U20" s="27"/>
      <c r="V20" s="2">
        <v>-44518.000000027903</v>
      </c>
      <c r="W20" s="27"/>
      <c r="X20" s="185">
        <v>-2.0573952169432804E-2</v>
      </c>
      <c r="Y20" s="27"/>
    </row>
    <row r="21" spans="1:25" x14ac:dyDescent="0.3">
      <c r="A21" t="s">
        <v>2127</v>
      </c>
      <c r="B21" s="2">
        <v>359</v>
      </c>
      <c r="C21" t="s">
        <v>172</v>
      </c>
      <c r="D21" s="2">
        <v>339.39542444477598</v>
      </c>
      <c r="E21" t="s">
        <v>172</v>
      </c>
      <c r="F21" s="2">
        <v>19.604575555224301</v>
      </c>
      <c r="G21" t="s">
        <v>172</v>
      </c>
      <c r="H21" s="307">
        <v>5.7763228798077798E-2</v>
      </c>
      <c r="I21" t="s">
        <v>172</v>
      </c>
      <c r="J21" s="2">
        <v>1738</v>
      </c>
      <c r="K21" t="s">
        <v>172</v>
      </c>
      <c r="L21" s="2">
        <v>1790</v>
      </c>
      <c r="M21" t="s">
        <v>172</v>
      </c>
      <c r="N21" s="2">
        <v>-52.000000000000199</v>
      </c>
      <c r="O21" t="s">
        <v>172</v>
      </c>
      <c r="P21" s="307">
        <v>-2.9050279329609102E-2</v>
      </c>
      <c r="Q21" t="s">
        <v>172</v>
      </c>
      <c r="R21" s="2">
        <v>156085</v>
      </c>
      <c r="S21" s="27"/>
      <c r="T21" s="2">
        <v>162250.003938585</v>
      </c>
      <c r="U21" s="27"/>
      <c r="V21" s="2">
        <v>-6165.0039385846994</v>
      </c>
      <c r="W21" s="27"/>
      <c r="X21" s="185">
        <v>-3.79969416883238E-2</v>
      </c>
      <c r="Y21" s="27"/>
    </row>
    <row r="22" spans="1:25" x14ac:dyDescent="0.3">
      <c r="A22" t="s">
        <v>2128</v>
      </c>
      <c r="B22" s="2">
        <v>1650</v>
      </c>
      <c r="C22" t="s">
        <v>172</v>
      </c>
      <c r="D22" s="2">
        <v>1201.0882139723199</v>
      </c>
      <c r="E22" t="s">
        <v>172</v>
      </c>
      <c r="F22" s="2">
        <v>448.91178602767599</v>
      </c>
      <c r="G22" t="s">
        <v>172</v>
      </c>
      <c r="H22" s="307">
        <v>0.37375421788796204</v>
      </c>
      <c r="I22" t="s">
        <v>172</v>
      </c>
      <c r="J22" s="2">
        <v>3581</v>
      </c>
      <c r="K22" t="s">
        <v>172</v>
      </c>
      <c r="L22" s="2">
        <v>2533</v>
      </c>
      <c r="M22" t="s">
        <v>172</v>
      </c>
      <c r="N22" s="2">
        <v>1048</v>
      </c>
      <c r="O22" t="s">
        <v>172</v>
      </c>
      <c r="P22" s="307">
        <v>0.41373864982234498</v>
      </c>
      <c r="Q22" t="s">
        <v>172</v>
      </c>
      <c r="R22" s="2">
        <v>5978795</v>
      </c>
      <c r="S22" s="27"/>
      <c r="T22" s="2">
        <v>4775069.9999999898</v>
      </c>
      <c r="U22" s="27"/>
      <c r="V22" s="2">
        <v>1203725.00000001</v>
      </c>
      <c r="W22" s="27"/>
      <c r="X22" s="185">
        <v>0.25208530974415394</v>
      </c>
      <c r="Y22" s="27"/>
    </row>
    <row r="23" spans="1:25" x14ac:dyDescent="0.3">
      <c r="A23" t="s">
        <v>2129</v>
      </c>
      <c r="B23" s="2">
        <v>37</v>
      </c>
      <c r="C23" t="s">
        <v>172</v>
      </c>
      <c r="D23" s="2">
        <v>35.324767483995707</v>
      </c>
      <c r="E23" t="s">
        <v>172</v>
      </c>
      <c r="F23" s="2">
        <v>1.6752325160043502</v>
      </c>
      <c r="G23" t="s">
        <v>172</v>
      </c>
      <c r="H23" s="307">
        <v>4.742373794146941E-2</v>
      </c>
      <c r="I23" t="s">
        <v>172</v>
      </c>
      <c r="J23" s="2">
        <v>122</v>
      </c>
      <c r="K23" t="s">
        <v>172</v>
      </c>
      <c r="L23" s="2">
        <v>107</v>
      </c>
      <c r="M23" t="s">
        <v>172</v>
      </c>
      <c r="N23" s="2">
        <v>15</v>
      </c>
      <c r="O23" t="s">
        <v>172</v>
      </c>
      <c r="P23" s="307">
        <v>0.14018691588785001</v>
      </c>
      <c r="Q23" t="s">
        <v>172</v>
      </c>
      <c r="R23" s="2">
        <v>138167</v>
      </c>
      <c r="S23" s="27"/>
      <c r="T23" s="2">
        <v>128577</v>
      </c>
      <c r="U23" s="27"/>
      <c r="V23" s="2">
        <v>9589.9999999998709</v>
      </c>
      <c r="W23" s="27"/>
      <c r="X23" s="185">
        <v>7.4585656843757897E-2</v>
      </c>
      <c r="Y23" s="27"/>
    </row>
    <row r="24" spans="1:25" x14ac:dyDescent="0.3">
      <c r="A24" t="s">
        <v>2130</v>
      </c>
      <c r="B24" s="2">
        <v>281</v>
      </c>
      <c r="C24" t="s">
        <v>172</v>
      </c>
      <c r="D24" s="2">
        <v>50.000238777269999</v>
      </c>
      <c r="E24" t="s">
        <v>172</v>
      </c>
      <c r="F24" s="2">
        <v>230.99976122273</v>
      </c>
      <c r="G24" t="s">
        <v>172</v>
      </c>
      <c r="H24" s="307">
        <v>4.6199731615630206</v>
      </c>
      <c r="I24" t="s">
        <v>172</v>
      </c>
      <c r="J24" s="2">
        <v>723</v>
      </c>
      <c r="K24" t="s">
        <v>172</v>
      </c>
      <c r="L24" s="2">
        <v>649</v>
      </c>
      <c r="M24" t="s">
        <v>172</v>
      </c>
      <c r="N24" s="2">
        <v>74.000000000000099</v>
      </c>
      <c r="O24" t="s">
        <v>172</v>
      </c>
      <c r="P24" s="307">
        <v>0.11402157164869001</v>
      </c>
      <c r="Q24" t="s">
        <v>172</v>
      </c>
      <c r="R24" s="2">
        <v>223929</v>
      </c>
      <c r="S24" s="27"/>
      <c r="T24" s="2">
        <v>85587.000000000102</v>
      </c>
      <c r="U24" s="27"/>
      <c r="V24" s="2">
        <v>138342</v>
      </c>
      <c r="W24" s="27"/>
      <c r="X24" s="185">
        <v>1.6163903396543802</v>
      </c>
      <c r="Y24" s="27"/>
    </row>
    <row r="25" spans="1:25" x14ac:dyDescent="0.3">
      <c r="A25" t="s">
        <v>2131</v>
      </c>
      <c r="B25" s="2">
        <v>870</v>
      </c>
      <c r="C25" t="s">
        <v>172</v>
      </c>
      <c r="D25" s="2">
        <v>631.57101633381399</v>
      </c>
      <c r="E25" t="s">
        <v>172</v>
      </c>
      <c r="F25" s="2">
        <v>238.42898366618599</v>
      </c>
      <c r="G25" t="s">
        <v>172</v>
      </c>
      <c r="H25" s="307">
        <v>0.37751729813415996</v>
      </c>
      <c r="I25" t="s">
        <v>172</v>
      </c>
      <c r="J25" s="2">
        <v>4383</v>
      </c>
      <c r="K25" t="s">
        <v>172</v>
      </c>
      <c r="L25" s="2">
        <v>2405</v>
      </c>
      <c r="M25" t="s">
        <v>172</v>
      </c>
      <c r="N25" s="2">
        <v>1978</v>
      </c>
      <c r="O25" t="s">
        <v>172</v>
      </c>
      <c r="P25" s="307">
        <v>0.82245322245322294</v>
      </c>
      <c r="Q25" t="s">
        <v>172</v>
      </c>
      <c r="R25" s="2">
        <v>1627722</v>
      </c>
      <c r="S25" s="27"/>
      <c r="T25" s="2">
        <v>968696.05181983497</v>
      </c>
      <c r="U25" s="27"/>
      <c r="V25" s="2">
        <v>659025.94818016503</v>
      </c>
      <c r="W25" s="27"/>
      <c r="X25" s="185">
        <v>0.68032273584896996</v>
      </c>
      <c r="Y25" s="27"/>
    </row>
    <row r="26" spans="1:25" x14ac:dyDescent="0.3">
      <c r="A26" t="s">
        <v>2132</v>
      </c>
      <c r="B26" s="2">
        <v>53471</v>
      </c>
      <c r="C26" t="s">
        <v>172</v>
      </c>
      <c r="D26" s="2">
        <v>47249.275427353001</v>
      </c>
      <c r="E26" t="s">
        <v>172</v>
      </c>
      <c r="F26" s="2">
        <v>6221.7245726469991</v>
      </c>
      <c r="G26" t="s">
        <v>172</v>
      </c>
      <c r="H26" s="307">
        <v>0.13167872980852499</v>
      </c>
      <c r="I26" t="s">
        <v>172</v>
      </c>
      <c r="J26" s="2">
        <v>93178</v>
      </c>
      <c r="K26" t="s">
        <v>172</v>
      </c>
      <c r="L26" s="2">
        <v>80992</v>
      </c>
      <c r="M26" t="s">
        <v>172</v>
      </c>
      <c r="N26" s="2">
        <v>12186</v>
      </c>
      <c r="O26" t="s">
        <v>172</v>
      </c>
      <c r="P26" s="307">
        <v>0.15045930462267801</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2133</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2134</v>
      </c>
      <c r="C29" s="304"/>
      <c r="D29" s="304" t="s">
        <v>2135</v>
      </c>
      <c r="E29" s="304"/>
      <c r="F29" s="304" t="s">
        <v>2136</v>
      </c>
      <c r="G29" s="304"/>
      <c r="H29" s="304" t="s">
        <v>2137</v>
      </c>
      <c r="I29" s="304"/>
      <c r="J29" s="304" t="s">
        <v>2134</v>
      </c>
      <c r="K29" s="304"/>
      <c r="L29" s="304" t="s">
        <v>2135</v>
      </c>
      <c r="M29" s="304"/>
      <c r="N29" s="304" t="s">
        <v>2136</v>
      </c>
      <c r="O29" s="304"/>
      <c r="P29" s="304" t="s">
        <v>2137</v>
      </c>
      <c r="Q29" s="304"/>
      <c r="R29" s="212" t="s">
        <v>2134</v>
      </c>
      <c r="S29" s="212"/>
      <c r="T29" s="212" t="s">
        <v>2135</v>
      </c>
      <c r="U29" s="212"/>
      <c r="V29" s="212" t="s">
        <v>2136</v>
      </c>
      <c r="W29" s="212"/>
      <c r="X29" s="212" t="s">
        <v>2137</v>
      </c>
      <c r="Y29" s="212"/>
    </row>
    <row r="30" spans="1:25" x14ac:dyDescent="0.3">
      <c r="A30" t="s">
        <v>170</v>
      </c>
      <c r="B30" s="2">
        <v>21764</v>
      </c>
      <c r="C30" t="s">
        <v>172</v>
      </c>
      <c r="D30" s="2">
        <v>21380.510496983199</v>
      </c>
      <c r="E30" t="s">
        <v>172</v>
      </c>
      <c r="F30" s="2">
        <v>383.48950301681901</v>
      </c>
      <c r="G30" t="s">
        <v>172</v>
      </c>
      <c r="H30" s="307">
        <v>1.7936405357156002E-2</v>
      </c>
      <c r="I30" t="s">
        <v>172</v>
      </c>
      <c r="J30" s="2">
        <v>43026</v>
      </c>
      <c r="K30" t="s">
        <v>172</v>
      </c>
      <c r="L30" s="2">
        <v>42849.000000000095</v>
      </c>
      <c r="M30" t="s">
        <v>172</v>
      </c>
      <c r="N30" s="2">
        <v>176.99999999989799</v>
      </c>
      <c r="O30" t="s">
        <v>172</v>
      </c>
      <c r="P30" s="307">
        <v>4.1307848491189507E-3</v>
      </c>
      <c r="Q30" t="s">
        <v>172</v>
      </c>
      <c r="R30" s="2">
        <v>8711118</v>
      </c>
      <c r="S30" s="27"/>
      <c r="T30" s="2">
        <v>9295040.6123496909</v>
      </c>
      <c r="U30" s="27"/>
      <c r="V30" s="2">
        <v>-583922.61234968505</v>
      </c>
      <c r="W30" s="27"/>
      <c r="X30" s="185">
        <v>-6.2820878003896699E-2</v>
      </c>
      <c r="Y30" s="27"/>
    </row>
    <row r="31" spans="1:25" x14ac:dyDescent="0.3">
      <c r="A31" t="s">
        <v>2124</v>
      </c>
      <c r="B31" s="2">
        <v>2440</v>
      </c>
      <c r="C31" t="s">
        <v>172</v>
      </c>
      <c r="D31" s="2">
        <v>3056.1586861995302</v>
      </c>
      <c r="E31" t="s">
        <v>172</v>
      </c>
      <c r="F31" s="2">
        <v>-616.15868619952596</v>
      </c>
      <c r="G31" t="s">
        <v>172</v>
      </c>
      <c r="H31" s="307">
        <v>-0.201612137806151</v>
      </c>
      <c r="I31" t="s">
        <v>172</v>
      </c>
      <c r="J31" s="2">
        <v>10888</v>
      </c>
      <c r="K31" t="s">
        <v>172</v>
      </c>
      <c r="L31" s="2">
        <v>12766</v>
      </c>
      <c r="M31" t="s">
        <v>172</v>
      </c>
      <c r="N31" s="2">
        <v>-1877.9999999999802</v>
      </c>
      <c r="O31" t="s">
        <v>172</v>
      </c>
      <c r="P31" s="307">
        <v>-0.147109509634966</v>
      </c>
      <c r="Q31" t="s">
        <v>172</v>
      </c>
      <c r="R31" s="2">
        <v>4214760</v>
      </c>
      <c r="S31" s="27"/>
      <c r="T31" s="2">
        <v>4538820.2617395604</v>
      </c>
      <c r="U31" s="27"/>
      <c r="V31" s="2">
        <v>-324060.26173955604</v>
      </c>
      <c r="W31" s="27"/>
      <c r="X31" s="185">
        <v>-7.1397465211666206E-2</v>
      </c>
      <c r="Y31" s="27"/>
    </row>
    <row r="32" spans="1:25" x14ac:dyDescent="0.3">
      <c r="A32" t="s">
        <v>2125</v>
      </c>
      <c r="B32" s="2">
        <v>1321</v>
      </c>
      <c r="C32" t="s">
        <v>172</v>
      </c>
      <c r="D32" s="2">
        <v>1900.1236233729101</v>
      </c>
      <c r="E32" t="s">
        <v>172</v>
      </c>
      <c r="F32" s="2">
        <v>-579.12362337291097</v>
      </c>
      <c r="G32" t="s">
        <v>172</v>
      </c>
      <c r="H32" s="307">
        <v>-0.30478207641295901</v>
      </c>
      <c r="I32" t="s">
        <v>172</v>
      </c>
      <c r="J32" s="2">
        <v>7732</v>
      </c>
      <c r="K32" t="s">
        <v>172</v>
      </c>
      <c r="L32" s="2">
        <v>10045</v>
      </c>
      <c r="M32" t="s">
        <v>172</v>
      </c>
      <c r="N32" s="2">
        <v>-2312.99999999998</v>
      </c>
      <c r="O32" t="s">
        <v>172</v>
      </c>
      <c r="P32" s="307">
        <v>-0.23026381284220801</v>
      </c>
      <c r="Q32" t="s">
        <v>172</v>
      </c>
      <c r="R32" s="2">
        <v>2041690</v>
      </c>
      <c r="S32" s="27"/>
      <c r="T32" s="2">
        <v>2546395.2333728699</v>
      </c>
      <c r="U32" s="27"/>
      <c r="V32" s="2">
        <v>-504705.23337287101</v>
      </c>
      <c r="W32" s="27"/>
      <c r="X32" s="185">
        <v>-0.19820380856759401</v>
      </c>
      <c r="Y32" s="27"/>
    </row>
    <row r="33" spans="1:25" x14ac:dyDescent="0.3">
      <c r="A33" t="s">
        <v>2126</v>
      </c>
      <c r="B33" s="2">
        <v>309</v>
      </c>
      <c r="C33" t="s">
        <v>172</v>
      </c>
      <c r="D33" s="2">
        <v>472.257326959409</v>
      </c>
      <c r="E33" t="s">
        <v>172</v>
      </c>
      <c r="F33" s="2">
        <v>-163.257326959409</v>
      </c>
      <c r="G33" t="s">
        <v>172</v>
      </c>
      <c r="H33" s="307">
        <v>-0.34569569944108303</v>
      </c>
      <c r="I33" t="s">
        <v>172</v>
      </c>
      <c r="J33" s="2">
        <v>585</v>
      </c>
      <c r="K33" t="s">
        <v>172</v>
      </c>
      <c r="L33" s="2">
        <v>760.00000000000193</v>
      </c>
      <c r="M33" t="s">
        <v>172</v>
      </c>
      <c r="N33" s="2">
        <v>-175.00000000000199</v>
      </c>
      <c r="O33" t="s">
        <v>172</v>
      </c>
      <c r="P33" s="307">
        <v>-0.23026315789473903</v>
      </c>
      <c r="Q33" t="s">
        <v>172</v>
      </c>
      <c r="R33" s="2">
        <v>424906</v>
      </c>
      <c r="S33" s="27"/>
      <c r="T33" s="2">
        <v>523525.00000002101</v>
      </c>
      <c r="U33" s="27"/>
      <c r="V33" s="2">
        <v>-98619.000000020707</v>
      </c>
      <c r="W33" s="27"/>
      <c r="X33" s="185">
        <v>-0.18837495821597197</v>
      </c>
      <c r="Y33" s="27"/>
    </row>
    <row r="34" spans="1:25" x14ac:dyDescent="0.3">
      <c r="A34" t="s">
        <v>2127</v>
      </c>
      <c r="B34" s="2">
        <v>115</v>
      </c>
      <c r="C34" t="s">
        <v>172</v>
      </c>
      <c r="D34" s="2">
        <v>95.9528062617442</v>
      </c>
      <c r="E34" t="s">
        <v>172</v>
      </c>
      <c r="F34" s="2">
        <v>19.0471937382558</v>
      </c>
      <c r="G34" t="s">
        <v>172</v>
      </c>
      <c r="H34" s="307">
        <v>0.19850585387047504</v>
      </c>
      <c r="I34" t="s">
        <v>172</v>
      </c>
      <c r="J34" s="2">
        <v>440</v>
      </c>
      <c r="K34" t="s">
        <v>172</v>
      </c>
      <c r="L34" s="2">
        <v>411</v>
      </c>
      <c r="M34" t="s">
        <v>172</v>
      </c>
      <c r="N34" s="2">
        <v>29.000000000000199</v>
      </c>
      <c r="O34" t="s">
        <v>172</v>
      </c>
      <c r="P34" s="307">
        <v>7.0559610705596701E-2</v>
      </c>
      <c r="Q34" t="s">
        <v>172</v>
      </c>
      <c r="R34" s="2">
        <v>33428</v>
      </c>
      <c r="S34" s="27"/>
      <c r="T34" s="2">
        <v>37229.999999999702</v>
      </c>
      <c r="U34" s="27"/>
      <c r="V34" s="2">
        <v>-3801.9999999996703</v>
      </c>
      <c r="W34" s="27"/>
      <c r="X34" s="185">
        <v>-0.10212194466827</v>
      </c>
      <c r="Y34" s="27"/>
    </row>
    <row r="35" spans="1:25" x14ac:dyDescent="0.3">
      <c r="A35" t="s">
        <v>2128</v>
      </c>
      <c r="B35" s="2">
        <v>355</v>
      </c>
      <c r="C35" t="s">
        <v>172</v>
      </c>
      <c r="D35" s="2">
        <v>293.87450576903399</v>
      </c>
      <c r="E35" t="s">
        <v>172</v>
      </c>
      <c r="F35" s="2">
        <v>61.125494230965792</v>
      </c>
      <c r="G35" t="s">
        <v>172</v>
      </c>
      <c r="H35" s="307">
        <v>0.20799862877185604</v>
      </c>
      <c r="I35" t="s">
        <v>172</v>
      </c>
      <c r="J35" s="2">
        <v>732</v>
      </c>
      <c r="K35" t="s">
        <v>172</v>
      </c>
      <c r="L35" s="2">
        <v>583.00000000000193</v>
      </c>
      <c r="M35" t="s">
        <v>172</v>
      </c>
      <c r="N35" s="2">
        <v>148.99999999999801</v>
      </c>
      <c r="O35" t="s">
        <v>172</v>
      </c>
      <c r="P35" s="307">
        <v>0.25557461406517701</v>
      </c>
      <c r="Q35" t="s">
        <v>172</v>
      </c>
      <c r="R35" s="2">
        <v>1072502</v>
      </c>
      <c r="S35" s="27"/>
      <c r="T35" s="2">
        <v>965987.99999998906</v>
      </c>
      <c r="U35" s="27"/>
      <c r="V35" s="2">
        <v>106514.000000011</v>
      </c>
      <c r="W35" s="27"/>
      <c r="X35" s="185">
        <v>0.11026430970158201</v>
      </c>
      <c r="Y35" s="27"/>
    </row>
    <row r="36" spans="1:25" x14ac:dyDescent="0.3">
      <c r="A36" t="s">
        <v>2129</v>
      </c>
      <c r="B36" s="2">
        <v>10</v>
      </c>
      <c r="C36" t="s">
        <v>172</v>
      </c>
      <c r="D36" s="2">
        <v>0</v>
      </c>
      <c r="E36" t="s">
        <v>172</v>
      </c>
      <c r="F36" s="2">
        <v>10</v>
      </c>
      <c r="G36" t="s">
        <v>172</v>
      </c>
      <c r="H36" t="s">
        <v>172</v>
      </c>
      <c r="I36" t="s">
        <v>172</v>
      </c>
      <c r="J36" s="2">
        <v>15</v>
      </c>
      <c r="K36" t="s">
        <v>172</v>
      </c>
      <c r="L36" s="2">
        <v>6</v>
      </c>
      <c r="M36" t="s">
        <v>172</v>
      </c>
      <c r="N36" s="2">
        <v>9</v>
      </c>
      <c r="O36" t="s">
        <v>172</v>
      </c>
      <c r="P36" s="307">
        <v>1.5</v>
      </c>
      <c r="Q36" t="s">
        <v>172</v>
      </c>
      <c r="R36" s="2">
        <v>28989</v>
      </c>
      <c r="S36" s="27"/>
      <c r="T36" s="2">
        <v>32177.9999999998</v>
      </c>
      <c r="U36" s="27"/>
      <c r="V36" s="2">
        <v>-3188.9999999998304</v>
      </c>
      <c r="W36" s="27"/>
      <c r="X36" s="185">
        <v>-9.9104978556773013E-2</v>
      </c>
      <c r="Y36" s="27"/>
    </row>
    <row r="37" spans="1:25" x14ac:dyDescent="0.3">
      <c r="A37" t="s">
        <v>2130</v>
      </c>
      <c r="B37" s="2">
        <v>93</v>
      </c>
      <c r="C37" t="s">
        <v>172</v>
      </c>
      <c r="D37" s="2">
        <v>17.000238777270003</v>
      </c>
      <c r="E37" t="s">
        <v>172</v>
      </c>
      <c r="F37" s="2">
        <v>75.999761222730001</v>
      </c>
      <c r="G37" t="s">
        <v>172</v>
      </c>
      <c r="H37" s="307">
        <v>4.4705113980131106</v>
      </c>
      <c r="I37" t="s">
        <v>172</v>
      </c>
      <c r="J37" s="2">
        <v>201</v>
      </c>
      <c r="K37" t="s">
        <v>172</v>
      </c>
      <c r="L37" s="2">
        <v>44.999999999999893</v>
      </c>
      <c r="M37" t="s">
        <v>172</v>
      </c>
      <c r="N37" s="2">
        <v>156</v>
      </c>
      <c r="O37" t="s">
        <v>172</v>
      </c>
      <c r="P37" s="307">
        <v>3.4666666666666801</v>
      </c>
      <c r="Q37" t="s">
        <v>172</v>
      </c>
      <c r="R37" s="2">
        <v>61590</v>
      </c>
      <c r="S37" s="27"/>
      <c r="T37" s="2">
        <v>26562.999999999702</v>
      </c>
      <c r="U37" s="27"/>
      <c r="V37" s="2">
        <v>35027.000000000298</v>
      </c>
      <c r="W37" s="27"/>
      <c r="X37" s="185">
        <v>1.3186387079772899</v>
      </c>
      <c r="Y37" s="27"/>
    </row>
    <row r="38" spans="1:25" x14ac:dyDescent="0.3">
      <c r="A38" t="s">
        <v>2131</v>
      </c>
      <c r="B38" s="2">
        <v>237</v>
      </c>
      <c r="C38" t="s">
        <v>172</v>
      </c>
      <c r="D38" s="2">
        <v>276.95018505915698</v>
      </c>
      <c r="E38" t="s">
        <v>172</v>
      </c>
      <c r="F38" s="2">
        <v>-39.9501850591571</v>
      </c>
      <c r="G38" t="s">
        <v>172</v>
      </c>
      <c r="H38" s="307">
        <v>-0.144250436411962</v>
      </c>
      <c r="I38" t="s">
        <v>172</v>
      </c>
      <c r="J38" s="2">
        <v>1183</v>
      </c>
      <c r="K38" t="s">
        <v>172</v>
      </c>
      <c r="L38" s="2">
        <v>916</v>
      </c>
      <c r="M38" t="s">
        <v>172</v>
      </c>
      <c r="N38" s="2">
        <v>267</v>
      </c>
      <c r="O38" t="s">
        <v>172</v>
      </c>
      <c r="P38" s="307">
        <v>0.291484716157205</v>
      </c>
      <c r="Q38" t="s">
        <v>172</v>
      </c>
      <c r="R38" s="2">
        <v>551655</v>
      </c>
      <c r="S38" s="27"/>
      <c r="T38" s="2">
        <v>406941.02836667298</v>
      </c>
      <c r="U38" s="27"/>
      <c r="V38" s="2">
        <v>144713.97163332699</v>
      </c>
      <c r="W38" s="27"/>
      <c r="X38" s="185">
        <v>0.35561411002021898</v>
      </c>
      <c r="Y38" s="27"/>
    </row>
    <row r="39" spans="1:25" x14ac:dyDescent="0.3">
      <c r="A39" t="s">
        <v>2132</v>
      </c>
      <c r="B39" s="2">
        <v>19324</v>
      </c>
      <c r="C39" t="s">
        <v>172</v>
      </c>
      <c r="D39" s="2">
        <v>18324.351810783701</v>
      </c>
      <c r="E39" t="s">
        <v>172</v>
      </c>
      <c r="F39" s="2">
        <v>999.64818921634992</v>
      </c>
      <c r="G39" t="s">
        <v>172</v>
      </c>
      <c r="H39" s="307">
        <v>5.45529904434639E-2</v>
      </c>
      <c r="I39" t="s">
        <v>172</v>
      </c>
      <c r="J39" s="2">
        <v>32138</v>
      </c>
      <c r="K39" t="s">
        <v>172</v>
      </c>
      <c r="L39" s="2">
        <v>30083</v>
      </c>
      <c r="M39" t="s">
        <v>172</v>
      </c>
      <c r="N39" s="2">
        <v>2054.99999999997</v>
      </c>
      <c r="O39" t="s">
        <v>172</v>
      </c>
      <c r="P39" s="307">
        <v>6.8311006216134298E-2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2138</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2139</v>
      </c>
      <c r="C42" s="304"/>
      <c r="D42" s="304" t="s">
        <v>2140</v>
      </c>
      <c r="E42" s="304"/>
      <c r="F42" s="304" t="s">
        <v>4606</v>
      </c>
      <c r="G42" s="304"/>
      <c r="H42" s="304" t="s">
        <v>4607</v>
      </c>
      <c r="I42" s="304"/>
      <c r="J42" s="304" t="s">
        <v>2139</v>
      </c>
      <c r="K42" s="304"/>
      <c r="L42" s="304" t="s">
        <v>2140</v>
      </c>
      <c r="M42" s="304"/>
      <c r="N42" s="304" t="s">
        <v>4606</v>
      </c>
      <c r="O42" s="304"/>
      <c r="P42" s="304" t="s">
        <v>4607</v>
      </c>
      <c r="Q42" s="304"/>
      <c r="R42" s="212" t="s">
        <v>2139</v>
      </c>
      <c r="S42" s="212"/>
      <c r="T42" s="212" t="s">
        <v>2140</v>
      </c>
      <c r="U42" s="212"/>
      <c r="V42" s="212" t="s">
        <v>2141</v>
      </c>
      <c r="W42" s="212"/>
      <c r="X42" s="212" t="s">
        <v>2142</v>
      </c>
      <c r="Y42" s="212"/>
    </row>
    <row r="43" spans="1:25" x14ac:dyDescent="0.3">
      <c r="A43" t="s">
        <v>170</v>
      </c>
      <c r="B43" s="2">
        <v>44460</v>
      </c>
      <c r="C43" t="s">
        <v>172</v>
      </c>
      <c r="D43" s="2">
        <v>40286.147472363999</v>
      </c>
      <c r="E43" t="s">
        <v>172</v>
      </c>
      <c r="F43" s="2">
        <v>4173.8525276360015</v>
      </c>
      <c r="G43" t="s">
        <v>172</v>
      </c>
      <c r="H43" s="307">
        <v>0.10360515436476604</v>
      </c>
      <c r="I43" t="s">
        <v>172</v>
      </c>
      <c r="J43" s="2">
        <v>113229</v>
      </c>
      <c r="K43" t="s">
        <v>172</v>
      </c>
      <c r="L43" s="2">
        <v>108016</v>
      </c>
      <c r="M43" t="s">
        <v>172</v>
      </c>
      <c r="N43" s="2">
        <v>5213</v>
      </c>
      <c r="O43" t="s">
        <v>172</v>
      </c>
      <c r="P43" s="307">
        <v>4.8261368686120576E-2</v>
      </c>
      <c r="Q43" t="s">
        <v>172</v>
      </c>
      <c r="R43" s="2">
        <v>30827105</v>
      </c>
      <c r="S43" s="27"/>
      <c r="T43" s="2">
        <v>27958914.915998198</v>
      </c>
      <c r="U43" s="27"/>
      <c r="V43" s="2">
        <v>2868190.0840018019</v>
      </c>
      <c r="W43" s="27"/>
      <c r="X43" s="185">
        <v>9.3041175420196021E-2</v>
      </c>
      <c r="Y43" s="27"/>
    </row>
    <row r="44" spans="1:25" x14ac:dyDescent="0.3">
      <c r="A44" t="s">
        <v>2124</v>
      </c>
      <c r="B44" s="2">
        <v>10313</v>
      </c>
      <c r="C44" t="s">
        <v>172</v>
      </c>
      <c r="D44" s="2">
        <v>11361.2238557947</v>
      </c>
      <c r="E44" t="s">
        <v>172</v>
      </c>
      <c r="F44" s="2">
        <v>-1048.2238557947003</v>
      </c>
      <c r="G44" t="s">
        <v>172</v>
      </c>
      <c r="H44" s="307">
        <v>-9.2263286869403785E-2</v>
      </c>
      <c r="I44" t="s">
        <v>172</v>
      </c>
      <c r="J44" s="2">
        <v>52189</v>
      </c>
      <c r="K44" t="s">
        <v>172</v>
      </c>
      <c r="L44" s="2">
        <v>57107</v>
      </c>
      <c r="M44" t="s">
        <v>172</v>
      </c>
      <c r="N44" s="2">
        <v>-4918</v>
      </c>
      <c r="O44" t="s">
        <v>172</v>
      </c>
      <c r="P44" s="307">
        <v>-8.6119039697410124E-2</v>
      </c>
      <c r="Q44" t="s">
        <v>172</v>
      </c>
      <c r="R44" s="2">
        <v>19743811</v>
      </c>
      <c r="S44" s="27"/>
      <c r="T44" s="2">
        <v>18701415.613647502</v>
      </c>
      <c r="U44" s="27"/>
      <c r="V44" s="2">
        <v>1042395.3863524981</v>
      </c>
      <c r="W44" s="27"/>
      <c r="X44" s="185">
        <v>5.2796057779954338E-2</v>
      </c>
      <c r="Y44" s="27"/>
    </row>
    <row r="45" spans="1:25" x14ac:dyDescent="0.3">
      <c r="A45" t="s">
        <v>2125</v>
      </c>
      <c r="B45" s="2">
        <v>6754</v>
      </c>
      <c r="C45" t="s">
        <v>172</v>
      </c>
      <c r="D45" s="2">
        <v>8575.0889524613503</v>
      </c>
      <c r="E45" t="s">
        <v>172</v>
      </c>
      <c r="F45" s="2">
        <v>-1821.0889524613503</v>
      </c>
      <c r="G45" t="s">
        <v>172</v>
      </c>
      <c r="H45" s="307">
        <v>-0.21236968649038143</v>
      </c>
      <c r="I45" t="s">
        <v>172</v>
      </c>
      <c r="J45" s="2">
        <v>40667</v>
      </c>
      <c r="K45" t="s">
        <v>172</v>
      </c>
      <c r="L45" s="2">
        <v>47335</v>
      </c>
      <c r="M45" t="s">
        <v>172</v>
      </c>
      <c r="N45" s="2">
        <v>-6668</v>
      </c>
      <c r="O45" t="s">
        <v>172</v>
      </c>
      <c r="P45" s="307">
        <v>-0.14086827928594065</v>
      </c>
      <c r="Q45" t="s">
        <v>172</v>
      </c>
      <c r="R45" s="2">
        <v>11672897</v>
      </c>
      <c r="S45" s="27"/>
      <c r="T45" s="2">
        <v>12409856.586255699</v>
      </c>
      <c r="U45" s="27"/>
      <c r="V45" s="2">
        <v>-736959.5862556994</v>
      </c>
      <c r="W45" s="27"/>
      <c r="X45" s="185">
        <v>-6.3134249043377957E-2</v>
      </c>
      <c r="Y45" s="27"/>
    </row>
    <row r="46" spans="1:25" x14ac:dyDescent="0.3">
      <c r="A46" t="s">
        <v>2126</v>
      </c>
      <c r="B46" s="2">
        <v>1172</v>
      </c>
      <c r="C46" t="s">
        <v>172</v>
      </c>
      <c r="D46" s="2">
        <v>1212.53297818839</v>
      </c>
      <c r="E46" t="s">
        <v>172</v>
      </c>
      <c r="F46" s="2">
        <v>-40.532978188389961</v>
      </c>
      <c r="G46" t="s">
        <v>172</v>
      </c>
      <c r="H46" s="307">
        <v>-3.3428351160352851E-2</v>
      </c>
      <c r="I46" t="s">
        <v>172</v>
      </c>
      <c r="J46" s="2">
        <v>3546</v>
      </c>
      <c r="K46" t="s">
        <v>172</v>
      </c>
      <c r="L46" s="2">
        <v>4249</v>
      </c>
      <c r="M46" t="s">
        <v>172</v>
      </c>
      <c r="N46" s="2">
        <v>-703</v>
      </c>
      <c r="O46" t="s">
        <v>172</v>
      </c>
      <c r="P46" s="307">
        <v>-0.16545069428100728</v>
      </c>
      <c r="Q46" t="s">
        <v>172</v>
      </c>
      <c r="R46" s="2">
        <v>1694380</v>
      </c>
      <c r="S46" s="27"/>
      <c r="T46" s="2">
        <v>1640279.00000001</v>
      </c>
      <c r="U46" s="27"/>
      <c r="V46" s="2">
        <v>54100.999999989988</v>
      </c>
      <c r="W46" s="27"/>
      <c r="X46" s="185">
        <v>3.1929673390850927E-2</v>
      </c>
      <c r="Y46" s="27"/>
    </row>
    <row r="47" spans="1:25" x14ac:dyDescent="0.3">
      <c r="A47" t="s">
        <v>2127</v>
      </c>
      <c r="B47" s="2">
        <v>244</v>
      </c>
      <c r="C47" t="s">
        <v>172</v>
      </c>
      <c r="D47" s="2">
        <v>243.44261818303102</v>
      </c>
      <c r="E47" t="s">
        <v>172</v>
      </c>
      <c r="F47" s="2">
        <v>0.55738181696898437</v>
      </c>
      <c r="G47" t="s">
        <v>172</v>
      </c>
      <c r="H47" s="307">
        <v>2.289581919259182E-3</v>
      </c>
      <c r="I47" t="s">
        <v>172</v>
      </c>
      <c r="J47" s="2">
        <v>1298</v>
      </c>
      <c r="K47" t="s">
        <v>172</v>
      </c>
      <c r="L47" s="2">
        <v>1379</v>
      </c>
      <c r="M47" t="s">
        <v>172</v>
      </c>
      <c r="N47" s="2">
        <v>-81</v>
      </c>
      <c r="O47" t="s">
        <v>172</v>
      </c>
      <c r="P47" s="307">
        <v>-5.873821609862219E-2</v>
      </c>
      <c r="Q47" t="s">
        <v>172</v>
      </c>
      <c r="R47" s="2">
        <v>122657</v>
      </c>
      <c r="S47" s="27"/>
      <c r="T47" s="2">
        <v>125020.003938585</v>
      </c>
      <c r="U47" s="27"/>
      <c r="V47" s="2">
        <v>-2363.0039385849959</v>
      </c>
      <c r="W47" s="27"/>
      <c r="X47" s="185">
        <v>-1.9265137241127665E-2</v>
      </c>
      <c r="Y47" s="27"/>
    </row>
    <row r="48" spans="1:25" x14ac:dyDescent="0.3">
      <c r="A48" t="s">
        <v>2128</v>
      </c>
      <c r="B48" s="2">
        <v>1295</v>
      </c>
      <c r="C48" t="s">
        <v>172</v>
      </c>
      <c r="D48" s="2">
        <v>907.21370820329014</v>
      </c>
      <c r="E48" t="s">
        <v>172</v>
      </c>
      <c r="F48" s="2">
        <v>387.78629179670986</v>
      </c>
      <c r="G48" t="s">
        <v>172</v>
      </c>
      <c r="H48" s="307">
        <v>0.4274475664225898</v>
      </c>
      <c r="I48" t="s">
        <v>172</v>
      </c>
      <c r="J48" s="2">
        <v>2849</v>
      </c>
      <c r="K48" t="s">
        <v>172</v>
      </c>
      <c r="L48" s="2">
        <v>1950</v>
      </c>
      <c r="M48" t="s">
        <v>172</v>
      </c>
      <c r="N48" s="2">
        <v>899</v>
      </c>
      <c r="O48" t="s">
        <v>172</v>
      </c>
      <c r="P48" s="307">
        <v>0.46102564102564103</v>
      </c>
      <c r="Q48" t="s">
        <v>172</v>
      </c>
      <c r="R48" s="2">
        <v>4906293</v>
      </c>
      <c r="S48" s="27"/>
      <c r="T48" s="2">
        <v>3809082</v>
      </c>
      <c r="U48" s="27"/>
      <c r="V48" s="2">
        <v>1097211</v>
      </c>
      <c r="W48" s="27"/>
      <c r="X48" s="185">
        <v>0.22363340306011076</v>
      </c>
      <c r="Y48" s="27"/>
    </row>
    <row r="49" spans="1:25" x14ac:dyDescent="0.3">
      <c r="A49" t="s">
        <v>2129</v>
      </c>
      <c r="B49" s="2">
        <v>27</v>
      </c>
      <c r="C49" t="s">
        <v>172</v>
      </c>
      <c r="D49" s="2">
        <v>35.324767483995707</v>
      </c>
      <c r="E49" t="s">
        <v>172</v>
      </c>
      <c r="F49" s="2">
        <v>-8.3247674839957071</v>
      </c>
      <c r="G49" t="s">
        <v>172</v>
      </c>
      <c r="H49" s="307">
        <v>-0.23566375879946949</v>
      </c>
      <c r="I49" t="s">
        <v>172</v>
      </c>
      <c r="J49" s="2">
        <v>107</v>
      </c>
      <c r="K49" t="s">
        <v>172</v>
      </c>
      <c r="L49" s="2">
        <v>101</v>
      </c>
      <c r="M49" t="s">
        <v>172</v>
      </c>
      <c r="N49" s="2">
        <v>6</v>
      </c>
      <c r="O49" t="s">
        <v>172</v>
      </c>
      <c r="P49" s="307">
        <v>5.9405940594059403E-2</v>
      </c>
      <c r="Q49" t="s">
        <v>172</v>
      </c>
      <c r="R49" s="2">
        <v>109178</v>
      </c>
      <c r="S49" s="27"/>
      <c r="T49" s="2">
        <v>96399.000000000291</v>
      </c>
      <c r="U49" s="27"/>
      <c r="V49" s="2">
        <v>12778.999999999709</v>
      </c>
      <c r="W49" s="27"/>
      <c r="X49" s="185">
        <v>0.1170473904999149</v>
      </c>
      <c r="Y49" s="27"/>
    </row>
    <row r="50" spans="1:25" x14ac:dyDescent="0.3">
      <c r="A50" t="s">
        <v>2130</v>
      </c>
      <c r="B50" s="2">
        <v>188</v>
      </c>
      <c r="C50" t="s">
        <v>172</v>
      </c>
      <c r="D50" s="2">
        <v>33</v>
      </c>
      <c r="E50" t="s">
        <v>172</v>
      </c>
      <c r="F50" s="2">
        <v>155</v>
      </c>
      <c r="G50" t="s">
        <v>172</v>
      </c>
      <c r="H50" s="307">
        <v>4.6969696969696972</v>
      </c>
      <c r="I50" t="s">
        <v>172</v>
      </c>
      <c r="J50" s="2">
        <v>522</v>
      </c>
      <c r="K50" t="s">
        <v>172</v>
      </c>
      <c r="L50" s="2">
        <v>604</v>
      </c>
      <c r="M50" t="s">
        <v>172</v>
      </c>
      <c r="N50" s="2">
        <v>-82</v>
      </c>
      <c r="O50" t="s">
        <v>172</v>
      </c>
      <c r="P50" s="307">
        <v>-0.13576158940397351</v>
      </c>
      <c r="Q50" t="s">
        <v>172</v>
      </c>
      <c r="R50" s="2">
        <v>162339</v>
      </c>
      <c r="S50" s="27"/>
      <c r="T50" s="2">
        <v>59024.0000000004</v>
      </c>
      <c r="U50" s="27"/>
      <c r="V50" s="2">
        <v>103314.99999999959</v>
      </c>
      <c r="W50" s="27"/>
      <c r="X50" s="185">
        <v>0.63641515593911258</v>
      </c>
      <c r="Y50" s="27"/>
    </row>
    <row r="51" spans="1:25" x14ac:dyDescent="0.3">
      <c r="A51" t="s">
        <v>2131</v>
      </c>
      <c r="B51" s="2">
        <v>633</v>
      </c>
      <c r="C51" t="s">
        <v>172</v>
      </c>
      <c r="D51" s="2">
        <v>354.62083127465598</v>
      </c>
      <c r="E51" t="s">
        <v>172</v>
      </c>
      <c r="F51" s="2">
        <v>278.37916872534402</v>
      </c>
      <c r="G51" t="s">
        <v>172</v>
      </c>
      <c r="H51" s="307">
        <v>0.78500512145530921</v>
      </c>
      <c r="I51" t="s">
        <v>172</v>
      </c>
      <c r="J51" s="2">
        <v>3200</v>
      </c>
      <c r="K51" t="s">
        <v>172</v>
      </c>
      <c r="L51" s="2">
        <v>1489</v>
      </c>
      <c r="M51" t="s">
        <v>172</v>
      </c>
      <c r="N51" s="2">
        <v>1711</v>
      </c>
      <c r="O51" t="s">
        <v>172</v>
      </c>
      <c r="P51" s="307">
        <v>1.1490933512424446</v>
      </c>
      <c r="Q51" t="s">
        <v>172</v>
      </c>
      <c r="R51" s="2">
        <v>1076067</v>
      </c>
      <c r="S51" s="27"/>
      <c r="T51" s="2">
        <v>561755.02345316205</v>
      </c>
      <c r="U51" s="27"/>
      <c r="V51" s="2">
        <v>514311.97654683795</v>
      </c>
      <c r="W51" s="27"/>
      <c r="X51" s="185">
        <v>0.4779553471548128</v>
      </c>
      <c r="Y51" s="27"/>
    </row>
    <row r="52" spans="1:25" x14ac:dyDescent="0.3">
      <c r="A52" t="s">
        <v>2132</v>
      </c>
      <c r="B52" s="2">
        <v>34147</v>
      </c>
      <c r="C52" t="s">
        <v>172</v>
      </c>
      <c r="D52" s="2">
        <v>28924.923616569398</v>
      </c>
      <c r="E52" t="s">
        <v>172</v>
      </c>
      <c r="F52" s="2">
        <v>5222.0763834306017</v>
      </c>
      <c r="G52" t="s">
        <v>172</v>
      </c>
      <c r="H52" s="307">
        <v>0.18053898612334379</v>
      </c>
      <c r="I52" t="s">
        <v>172</v>
      </c>
      <c r="J52" s="2">
        <v>61040</v>
      </c>
      <c r="K52" t="s">
        <v>172</v>
      </c>
      <c r="L52" s="2">
        <v>50909</v>
      </c>
      <c r="M52" t="s">
        <v>172</v>
      </c>
      <c r="N52" s="2">
        <v>10131</v>
      </c>
      <c r="O52" t="s">
        <v>172</v>
      </c>
      <c r="P52" s="307">
        <v>0.19900214107525191</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2143</v>
      </c>
      <c r="C1" s="370"/>
      <c r="D1" s="370"/>
      <c r="E1" s="370"/>
      <c r="F1" s="370"/>
      <c r="G1" s="370"/>
    </row>
    <row r="2" spans="1:7" ht="14.4" customHeight="1" x14ac:dyDescent="0.3">
      <c r="A2" t="s">
        <v>172</v>
      </c>
      <c r="B2" s="371" t="str">
        <f>Population!B3</f>
        <v>City of Madera</v>
      </c>
      <c r="C2" s="371"/>
      <c r="D2" s="371" t="str">
        <f>Population!B4</f>
        <v>Madera County</v>
      </c>
      <c r="E2" s="371"/>
      <c r="F2" s="371" t="s">
        <v>173</v>
      </c>
      <c r="G2" s="371"/>
    </row>
    <row r="3" spans="1:7" x14ac:dyDescent="0.3">
      <c r="A3" s="18"/>
      <c r="B3" s="18"/>
      <c r="C3" s="18"/>
      <c r="D3" s="18"/>
      <c r="E3" s="18"/>
      <c r="F3" s="18"/>
      <c r="G3" s="18"/>
    </row>
    <row r="4" spans="1:7" x14ac:dyDescent="0.3">
      <c r="A4" s="303" t="s">
        <v>2144</v>
      </c>
      <c r="B4" s="303"/>
      <c r="C4" s="303"/>
      <c r="D4" s="303"/>
      <c r="E4" s="303"/>
      <c r="F4" s="122"/>
      <c r="G4" s="122"/>
    </row>
    <row r="5" spans="1:7" x14ac:dyDescent="0.3">
      <c r="A5" t="s">
        <v>174</v>
      </c>
      <c r="B5" s="2">
        <v>61416</v>
      </c>
      <c r="C5" t="s">
        <v>172</v>
      </c>
      <c r="D5" s="2">
        <v>150865</v>
      </c>
      <c r="E5" t="s">
        <v>172</v>
      </c>
      <c r="F5" s="2">
        <v>37253956</v>
      </c>
      <c r="G5" s="27"/>
    </row>
    <row r="6" spans="1:7" x14ac:dyDescent="0.3">
      <c r="A6" s="18"/>
      <c r="B6" s="18"/>
      <c r="C6" s="18"/>
      <c r="D6" s="18"/>
      <c r="E6" s="18"/>
      <c r="F6" s="123"/>
      <c r="G6" s="123"/>
    </row>
    <row r="7" spans="1:7" x14ac:dyDescent="0.3">
      <c r="A7" s="303" t="s">
        <v>2145</v>
      </c>
      <c r="B7" s="303"/>
      <c r="C7" s="303"/>
      <c r="D7" s="303"/>
      <c r="E7" s="303"/>
      <c r="F7" s="122"/>
      <c r="G7" s="122"/>
    </row>
    <row r="8" spans="1:7" x14ac:dyDescent="0.3">
      <c r="A8" t="s">
        <v>2146</v>
      </c>
      <c r="B8" s="2">
        <v>61416</v>
      </c>
      <c r="C8" t="s">
        <v>172</v>
      </c>
      <c r="D8" s="2">
        <v>150865</v>
      </c>
      <c r="E8" t="s">
        <v>172</v>
      </c>
      <c r="F8" s="2">
        <v>37253956</v>
      </c>
      <c r="G8" s="27"/>
    </row>
    <row r="9" spans="1:7" x14ac:dyDescent="0.3">
      <c r="A9" t="s">
        <v>2147</v>
      </c>
      <c r="B9" s="2">
        <v>30640</v>
      </c>
      <c r="C9" s="301">
        <v>0.49889279666536407</v>
      </c>
      <c r="D9" s="2">
        <v>94456</v>
      </c>
      <c r="E9" s="301">
        <v>0.62609617870281375</v>
      </c>
      <c r="F9" s="2">
        <v>21453934</v>
      </c>
      <c r="G9" s="27">
        <v>0.57599999999999996</v>
      </c>
    </row>
    <row r="10" spans="1:7" x14ac:dyDescent="0.3">
      <c r="A10" t="s">
        <v>2148</v>
      </c>
      <c r="B10" s="2">
        <v>2069</v>
      </c>
      <c r="C10" s="301">
        <v>3.3688289696496024E-2</v>
      </c>
      <c r="D10" s="2">
        <v>5629</v>
      </c>
      <c r="E10" s="301">
        <v>3.7311503662214564E-2</v>
      </c>
      <c r="F10" s="2">
        <v>2299072</v>
      </c>
      <c r="G10" s="27">
        <v>6.2E-2</v>
      </c>
    </row>
    <row r="11" spans="1:7" x14ac:dyDescent="0.3">
      <c r="A11" t="s">
        <v>2149</v>
      </c>
      <c r="B11" s="2">
        <v>1933</v>
      </c>
      <c r="C11" s="301">
        <v>3.1473883027224175E-2</v>
      </c>
      <c r="D11" s="2">
        <v>4136</v>
      </c>
      <c r="E11" s="301">
        <v>2.7415238789646374E-2</v>
      </c>
      <c r="F11" s="2">
        <v>362801</v>
      </c>
      <c r="G11" s="27">
        <v>0.01</v>
      </c>
    </row>
    <row r="12" spans="1:7" x14ac:dyDescent="0.3">
      <c r="A12" t="s">
        <v>2150</v>
      </c>
      <c r="B12" s="2">
        <v>1369</v>
      </c>
      <c r="C12" s="301">
        <v>2.229060831053797E-2</v>
      </c>
      <c r="D12" s="2">
        <v>2802</v>
      </c>
      <c r="E12" s="301">
        <v>1.8572896298014781E-2</v>
      </c>
      <c r="F12" s="2">
        <v>4861007</v>
      </c>
      <c r="G12" s="27">
        <v>0.13</v>
      </c>
    </row>
    <row r="13" spans="1:7" x14ac:dyDescent="0.3">
      <c r="A13" t="s">
        <v>2151</v>
      </c>
      <c r="B13" s="2">
        <v>72</v>
      </c>
      <c r="C13" s="301">
        <v>1.1723329425556857E-3</v>
      </c>
      <c r="D13" s="2">
        <v>162</v>
      </c>
      <c r="E13" s="301">
        <v>1.0738077088787989E-3</v>
      </c>
      <c r="F13" s="2">
        <v>144386</v>
      </c>
      <c r="G13" s="27">
        <v>4.0000000000000001E-3</v>
      </c>
    </row>
    <row r="14" spans="1:7" x14ac:dyDescent="0.3">
      <c r="A14" t="s">
        <v>2152</v>
      </c>
      <c r="B14" s="2">
        <v>22603</v>
      </c>
      <c r="C14" s="301">
        <v>0.36803113195258563</v>
      </c>
      <c r="D14" s="2">
        <v>37380</v>
      </c>
      <c r="E14" s="301">
        <v>0.24777118615981175</v>
      </c>
      <c r="F14" s="2">
        <v>6317372</v>
      </c>
      <c r="G14" s="27">
        <v>0.17</v>
      </c>
    </row>
    <row r="15" spans="1:7" x14ac:dyDescent="0.3">
      <c r="A15" t="s">
        <v>1737</v>
      </c>
      <c r="B15" s="2">
        <v>2730</v>
      </c>
      <c r="C15" s="301">
        <v>4.445095740523642E-2</v>
      </c>
      <c r="D15" s="2">
        <v>6300</v>
      </c>
      <c r="E15" s="301">
        <v>4.1759188678619961E-2</v>
      </c>
      <c r="F15" s="2">
        <v>1815384</v>
      </c>
      <c r="G15" s="27">
        <v>4.9000000000000002E-2</v>
      </c>
    </row>
    <row r="16" spans="1:7" x14ac:dyDescent="0.3">
      <c r="A16" s="18"/>
      <c r="B16" s="18"/>
      <c r="C16" s="18"/>
      <c r="D16" s="18"/>
      <c r="E16" s="18"/>
      <c r="F16" s="123"/>
      <c r="G16" s="123"/>
    </row>
    <row r="17" spans="1:9" x14ac:dyDescent="0.3">
      <c r="A17" s="303" t="s">
        <v>2153</v>
      </c>
      <c r="B17" s="303"/>
      <c r="C17" s="303"/>
      <c r="D17" s="303"/>
      <c r="E17" s="303"/>
      <c r="F17" s="122"/>
      <c r="G17" s="122"/>
    </row>
    <row r="18" spans="1:9" x14ac:dyDescent="0.3">
      <c r="A18" t="s">
        <v>2146</v>
      </c>
      <c r="B18" s="2">
        <v>61416</v>
      </c>
      <c r="C18" t="s">
        <v>172</v>
      </c>
      <c r="D18" s="2">
        <v>150865</v>
      </c>
      <c r="E18" t="s">
        <v>172</v>
      </c>
      <c r="F18" s="2">
        <v>37253956</v>
      </c>
      <c r="G18" s="27"/>
    </row>
    <row r="19" spans="1:9" x14ac:dyDescent="0.3">
      <c r="A19" t="s">
        <v>2154</v>
      </c>
      <c r="B19" s="2">
        <v>14313</v>
      </c>
      <c r="C19" s="301">
        <v>0.23305001953888238</v>
      </c>
      <c r="D19" s="2">
        <v>69873</v>
      </c>
      <c r="E19" s="301">
        <v>0.46314917310177972</v>
      </c>
      <c r="F19" s="2">
        <v>23240237</v>
      </c>
      <c r="G19" s="27">
        <v>0.624</v>
      </c>
    </row>
    <row r="20" spans="1:9" x14ac:dyDescent="0.3">
      <c r="A20" t="s">
        <v>2155</v>
      </c>
      <c r="B20" s="2">
        <v>10402</v>
      </c>
      <c r="C20" s="301">
        <v>0.16936954539533672</v>
      </c>
      <c r="D20" s="2">
        <v>57380</v>
      </c>
      <c r="E20" s="301">
        <v>0.38034003910781161</v>
      </c>
      <c r="F20" s="2">
        <v>14956253</v>
      </c>
      <c r="G20" s="27">
        <v>0.40100000000000002</v>
      </c>
    </row>
    <row r="21" spans="1:9" x14ac:dyDescent="0.3">
      <c r="A21" t="s">
        <v>2156</v>
      </c>
      <c r="B21" s="2">
        <v>1661</v>
      </c>
      <c r="C21" s="301">
        <v>2.7045069688680475E-2</v>
      </c>
      <c r="D21" s="2">
        <v>5009</v>
      </c>
      <c r="E21" s="301">
        <v>3.3201869220826567E-2</v>
      </c>
      <c r="F21" s="2">
        <v>2163804</v>
      </c>
      <c r="G21" s="27">
        <v>5.8000000000000003E-2</v>
      </c>
      <c r="I21" s="2"/>
    </row>
    <row r="22" spans="1:9" x14ac:dyDescent="0.3">
      <c r="A22" t="s">
        <v>2157</v>
      </c>
      <c r="B22" s="2">
        <v>335</v>
      </c>
      <c r="C22" s="301">
        <v>5.4546046632799267E-3</v>
      </c>
      <c r="D22" s="2">
        <v>1790</v>
      </c>
      <c r="E22" s="301">
        <v>1.1864912338845988E-2</v>
      </c>
      <c r="F22" s="2">
        <v>162250</v>
      </c>
      <c r="G22" s="27">
        <v>4.0000000000000001E-3</v>
      </c>
    </row>
    <row r="23" spans="1:9" x14ac:dyDescent="0.3">
      <c r="A23" t="s">
        <v>2158</v>
      </c>
      <c r="B23" s="2">
        <v>1199</v>
      </c>
      <c r="C23" s="301">
        <v>1.9522599973948156E-2</v>
      </c>
      <c r="D23" s="2">
        <v>2533</v>
      </c>
      <c r="E23" s="301">
        <v>1.6789845225864183E-2</v>
      </c>
      <c r="F23" s="2">
        <v>4775070</v>
      </c>
      <c r="G23" s="27">
        <v>0.128</v>
      </c>
    </row>
    <row r="24" spans="1:9" x14ac:dyDescent="0.3">
      <c r="A24" t="s">
        <v>2159</v>
      </c>
      <c r="B24" s="2">
        <v>35</v>
      </c>
      <c r="C24" s="301">
        <v>5.698840692979028E-4</v>
      </c>
      <c r="D24" s="2">
        <v>107</v>
      </c>
      <c r="E24" s="301">
        <v>7.0924336327179928E-4</v>
      </c>
      <c r="F24" s="2">
        <v>128577</v>
      </c>
      <c r="G24" s="27">
        <v>3.0000000000000001E-3</v>
      </c>
    </row>
    <row r="25" spans="1:9" x14ac:dyDescent="0.3">
      <c r="A25" t="s">
        <v>2160</v>
      </c>
      <c r="B25" s="2">
        <v>50</v>
      </c>
      <c r="C25" s="301">
        <v>8.1412009899700405E-4</v>
      </c>
      <c r="D25" s="2">
        <v>649</v>
      </c>
      <c r="E25" s="301">
        <v>4.3018592781625953E-3</v>
      </c>
      <c r="F25" s="2">
        <v>85587</v>
      </c>
      <c r="G25" s="27">
        <v>2E-3</v>
      </c>
    </row>
    <row r="26" spans="1:9" x14ac:dyDescent="0.3">
      <c r="A26" t="s">
        <v>1744</v>
      </c>
      <c r="B26" s="2">
        <v>631</v>
      </c>
      <c r="C26" s="301">
        <v>1.0274195649342191E-2</v>
      </c>
      <c r="D26" s="2">
        <v>2405</v>
      </c>
      <c r="E26" s="301">
        <v>1.5941404566996983E-2</v>
      </c>
      <c r="F26" s="2">
        <v>968696</v>
      </c>
      <c r="G26" s="27">
        <v>2.5999999999999999E-2</v>
      </c>
    </row>
    <row r="27" spans="1:9" x14ac:dyDescent="0.3">
      <c r="A27" t="s">
        <v>2161</v>
      </c>
      <c r="B27" s="2">
        <v>47103</v>
      </c>
      <c r="C27" s="301">
        <v>0.76694998046111762</v>
      </c>
      <c r="D27" s="2">
        <v>80992</v>
      </c>
      <c r="E27" s="301">
        <v>0.53685082689822028</v>
      </c>
      <c r="F27" s="2">
        <v>14013719</v>
      </c>
      <c r="G27" s="27">
        <v>0.376</v>
      </c>
    </row>
    <row r="28" spans="1:9" x14ac:dyDescent="0.3">
      <c r="A28" t="s">
        <v>2155</v>
      </c>
      <c r="B28" s="2">
        <v>20238</v>
      </c>
      <c r="C28" s="301">
        <v>0.32952325127002735</v>
      </c>
      <c r="D28" s="2">
        <v>37076</v>
      </c>
      <c r="E28" s="301">
        <v>0.24575613959500214</v>
      </c>
      <c r="F28" s="2">
        <v>6497681</v>
      </c>
      <c r="G28" s="27">
        <v>0.17399999999999999</v>
      </c>
    </row>
    <row r="29" spans="1:9" x14ac:dyDescent="0.3">
      <c r="A29" t="s">
        <v>2156</v>
      </c>
      <c r="B29" s="2">
        <v>408</v>
      </c>
      <c r="C29" s="301">
        <v>6.6432200078155529E-3</v>
      </c>
      <c r="D29" s="2">
        <v>620</v>
      </c>
      <c r="E29" s="301">
        <v>4.1096344413879956E-3</v>
      </c>
      <c r="F29" s="2">
        <v>135268</v>
      </c>
      <c r="G29" s="27">
        <v>4.0000000000000001E-3</v>
      </c>
    </row>
    <row r="30" spans="1:9" x14ac:dyDescent="0.3">
      <c r="A30" t="s">
        <v>2157</v>
      </c>
      <c r="B30" s="2">
        <v>1598</v>
      </c>
      <c r="C30" s="301">
        <v>2.601927836394425E-2</v>
      </c>
      <c r="D30" s="2">
        <v>2346</v>
      </c>
      <c r="E30" s="301">
        <v>1.5550326450800385E-2</v>
      </c>
      <c r="F30" s="2">
        <v>200551</v>
      </c>
      <c r="G30" s="27">
        <v>5.0000000000000001E-3</v>
      </c>
    </row>
    <row r="31" spans="1:9" x14ac:dyDescent="0.3">
      <c r="A31" t="s">
        <v>2158</v>
      </c>
      <c r="B31" s="2">
        <v>170</v>
      </c>
      <c r="C31" s="301">
        <v>2.7680083365898139E-3</v>
      </c>
      <c r="D31" s="2">
        <v>269</v>
      </c>
      <c r="E31" s="301">
        <v>1.7830510721505981E-3</v>
      </c>
      <c r="F31" s="2">
        <v>85937</v>
      </c>
      <c r="G31" s="27">
        <v>2E-3</v>
      </c>
    </row>
    <row r="32" spans="1:9" x14ac:dyDescent="0.3">
      <c r="A32" t="s">
        <v>2159</v>
      </c>
      <c r="B32" s="2">
        <v>37</v>
      </c>
      <c r="C32" s="301">
        <v>6.0244887325778304E-4</v>
      </c>
      <c r="D32" s="2">
        <v>55</v>
      </c>
      <c r="E32" s="301">
        <v>3.6456434560699962E-4</v>
      </c>
      <c r="F32" s="2">
        <v>15809</v>
      </c>
      <c r="G32" s="27">
        <v>0</v>
      </c>
    </row>
    <row r="33" spans="1:7" x14ac:dyDescent="0.3">
      <c r="A33" t="s">
        <v>2160</v>
      </c>
      <c r="B33" s="2">
        <v>22553</v>
      </c>
      <c r="C33" s="301">
        <v>0.36721701185358863</v>
      </c>
      <c r="D33" s="2">
        <v>36731</v>
      </c>
      <c r="E33" s="301">
        <v>0.24346932688164916</v>
      </c>
      <c r="F33" s="2">
        <v>6231785</v>
      </c>
      <c r="G33" s="27">
        <v>0.16700000000000001</v>
      </c>
    </row>
    <row r="34" spans="1:7" x14ac:dyDescent="0.3">
      <c r="A34" t="s">
        <v>1744</v>
      </c>
      <c r="B34" s="2">
        <v>2099</v>
      </c>
      <c r="C34" s="301">
        <v>3.4176761755894229E-2</v>
      </c>
      <c r="D34" s="2">
        <v>3895</v>
      </c>
      <c r="E34" s="301">
        <v>2.5817784111622975E-2</v>
      </c>
      <c r="F34" s="2">
        <v>846688</v>
      </c>
      <c r="G34" s="27">
        <v>2.3E-2</v>
      </c>
    </row>
    <row r="35" spans="1:7" x14ac:dyDescent="0.3">
      <c r="A35" s="18"/>
      <c r="B35" s="18"/>
      <c r="C35" s="18"/>
      <c r="D35" s="18"/>
      <c r="E35" s="18"/>
      <c r="F35" s="123"/>
      <c r="G35" s="123"/>
    </row>
    <row r="36" spans="1:7" x14ac:dyDescent="0.3">
      <c r="A36" s="303" t="s">
        <v>2162</v>
      </c>
      <c r="B36" s="303"/>
      <c r="C36" s="303"/>
      <c r="D36" s="303"/>
      <c r="E36" s="303"/>
      <c r="F36" s="122"/>
      <c r="G36" s="122"/>
    </row>
    <row r="37" spans="1:7" x14ac:dyDescent="0.3">
      <c r="A37" t="s">
        <v>2163</v>
      </c>
      <c r="B37" s="2">
        <v>15938</v>
      </c>
      <c r="C37" t="s">
        <v>172</v>
      </c>
      <c r="D37" s="2">
        <v>43317</v>
      </c>
      <c r="E37" t="s">
        <v>172</v>
      </c>
      <c r="F37" s="2">
        <v>12577498</v>
      </c>
      <c r="G37" s="27"/>
    </row>
    <row r="38" spans="1:7" x14ac:dyDescent="0.3">
      <c r="A38" t="s">
        <v>2164</v>
      </c>
      <c r="B38" s="2">
        <v>12888</v>
      </c>
      <c r="C38" s="301">
        <v>0.80863345463671732</v>
      </c>
      <c r="D38" s="2">
        <v>34093</v>
      </c>
      <c r="E38" s="301">
        <v>0.78705819885957018</v>
      </c>
      <c r="F38" s="2">
        <v>8642473</v>
      </c>
      <c r="G38" s="27">
        <v>0.68700000000000006</v>
      </c>
    </row>
    <row r="39" spans="1:7" x14ac:dyDescent="0.3">
      <c r="A39" t="s">
        <v>2165</v>
      </c>
      <c r="B39" s="2">
        <v>8521</v>
      </c>
      <c r="C39" s="301">
        <v>0.53463420755427282</v>
      </c>
      <c r="D39" s="2">
        <v>25218</v>
      </c>
      <c r="E39" s="301">
        <v>0.58217328069810925</v>
      </c>
      <c r="F39" s="2">
        <v>6213310</v>
      </c>
      <c r="G39" s="27">
        <v>0.49399999999999999</v>
      </c>
    </row>
    <row r="40" spans="1:7" x14ac:dyDescent="0.3">
      <c r="A40" t="s">
        <v>2166</v>
      </c>
      <c r="B40" s="2">
        <v>4367</v>
      </c>
      <c r="C40" s="301">
        <v>0.2739992470824445</v>
      </c>
      <c r="D40" s="2">
        <v>8875</v>
      </c>
      <c r="E40" s="301">
        <v>0.20488491816146087</v>
      </c>
      <c r="F40" s="2">
        <v>2429163</v>
      </c>
      <c r="G40" s="27">
        <v>0.193</v>
      </c>
    </row>
    <row r="41" spans="1:7" x14ac:dyDescent="0.3">
      <c r="A41" t="s">
        <v>2167</v>
      </c>
      <c r="B41" s="2">
        <v>1450</v>
      </c>
      <c r="C41" s="301">
        <v>9.097753795959343E-2</v>
      </c>
      <c r="D41" s="2">
        <v>3135</v>
      </c>
      <c r="E41" s="301">
        <v>7.2373433063231532E-2</v>
      </c>
      <c r="F41" s="2">
        <v>752347</v>
      </c>
      <c r="G41" s="27">
        <v>0.06</v>
      </c>
    </row>
    <row r="42" spans="1:7" x14ac:dyDescent="0.3">
      <c r="A42" t="s">
        <v>2168</v>
      </c>
      <c r="B42" s="2">
        <v>2917</v>
      </c>
      <c r="C42" s="301">
        <v>0.18302170912285104</v>
      </c>
      <c r="D42" s="2">
        <v>5740</v>
      </c>
      <c r="E42" s="301">
        <v>0.13251148509822933</v>
      </c>
      <c r="F42" s="2">
        <v>1676816</v>
      </c>
      <c r="G42" s="27">
        <v>0.13300000000000001</v>
      </c>
    </row>
    <row r="43" spans="1:7" x14ac:dyDescent="0.3">
      <c r="A43" t="s">
        <v>2169</v>
      </c>
      <c r="B43" s="2">
        <v>3050</v>
      </c>
      <c r="C43" s="301">
        <v>0.19136654536328271</v>
      </c>
      <c r="D43" s="2">
        <v>9224</v>
      </c>
      <c r="E43" s="301">
        <v>0.21294180114042985</v>
      </c>
      <c r="F43" s="2">
        <v>3935025</v>
      </c>
      <c r="G43" s="27">
        <v>0.313</v>
      </c>
    </row>
    <row r="44" spans="1:7" x14ac:dyDescent="0.3">
      <c r="A44" t="s">
        <v>2170</v>
      </c>
      <c r="B44" s="2">
        <v>2374</v>
      </c>
      <c r="C44" s="301">
        <v>0.14895218973522401</v>
      </c>
      <c r="D44" s="2">
        <v>7251</v>
      </c>
      <c r="E44" s="301">
        <v>0.16739386384098623</v>
      </c>
      <c r="F44" s="2">
        <v>2929442</v>
      </c>
      <c r="G44" s="27">
        <v>0.23300000000000001</v>
      </c>
    </row>
    <row r="45" spans="1:7" x14ac:dyDescent="0.3">
      <c r="A45" t="s">
        <v>2171</v>
      </c>
      <c r="B45" s="2">
        <v>676</v>
      </c>
      <c r="C45" s="301">
        <v>4.2414355628058731E-2</v>
      </c>
      <c r="D45" s="2">
        <v>1973</v>
      </c>
      <c r="E45" s="301">
        <v>4.5547937299443633E-2</v>
      </c>
      <c r="F45" s="2">
        <v>1005583</v>
      </c>
      <c r="G45" s="27">
        <v>0.08</v>
      </c>
    </row>
    <row r="46" spans="1:7" x14ac:dyDescent="0.3">
      <c r="A46" s="18"/>
      <c r="B46" s="18"/>
      <c r="C46" s="18"/>
      <c r="D46" s="18"/>
      <c r="E46" s="18"/>
      <c r="F46" s="123"/>
      <c r="G46" s="123"/>
    </row>
    <row r="47" spans="1:7" x14ac:dyDescent="0.3">
      <c r="A47" s="303" t="s">
        <v>2172</v>
      </c>
      <c r="B47" s="303"/>
      <c r="C47" s="303"/>
      <c r="D47" s="303"/>
      <c r="E47" s="303"/>
      <c r="F47" s="122"/>
      <c r="G47" s="122"/>
    </row>
    <row r="48" spans="1:7" x14ac:dyDescent="0.3">
      <c r="A48" t="s">
        <v>174</v>
      </c>
      <c r="B48" s="2">
        <v>17049</v>
      </c>
      <c r="C48" t="s">
        <v>172</v>
      </c>
      <c r="D48" s="2">
        <v>49140</v>
      </c>
      <c r="E48" t="s">
        <v>172</v>
      </c>
      <c r="F48" s="2">
        <v>13680081</v>
      </c>
      <c r="G48" s="27"/>
    </row>
    <row r="49" spans="1:7" x14ac:dyDescent="0.3">
      <c r="A49" s="18"/>
      <c r="B49" s="18"/>
      <c r="C49" s="18"/>
      <c r="D49" s="18"/>
      <c r="E49" s="18"/>
      <c r="F49" s="123"/>
      <c r="G49" s="123"/>
    </row>
    <row r="50" spans="1:7" x14ac:dyDescent="0.3">
      <c r="A50" s="303" t="s">
        <v>2173</v>
      </c>
      <c r="B50" s="303"/>
      <c r="C50" s="303"/>
      <c r="D50" s="303"/>
      <c r="E50" s="303"/>
      <c r="F50" s="122"/>
      <c r="G50" s="122"/>
    </row>
    <row r="51" spans="1:7" x14ac:dyDescent="0.3">
      <c r="A51" t="s">
        <v>2174</v>
      </c>
      <c r="B51" s="2">
        <v>15938</v>
      </c>
      <c r="C51" t="s">
        <v>172</v>
      </c>
      <c r="D51" s="2">
        <v>43317</v>
      </c>
      <c r="E51" t="s">
        <v>172</v>
      </c>
      <c r="F51" s="2">
        <v>12577498</v>
      </c>
      <c r="G51" s="27"/>
    </row>
    <row r="52" spans="1:7" x14ac:dyDescent="0.3">
      <c r="A52" t="s">
        <v>2175</v>
      </c>
      <c r="B52" s="2">
        <v>6426</v>
      </c>
      <c r="C52" s="301">
        <v>0.40318735098506714</v>
      </c>
      <c r="D52" s="2">
        <v>19961</v>
      </c>
      <c r="E52" s="301">
        <v>0.46081215227277972</v>
      </c>
      <c r="F52" s="2">
        <v>5465345</v>
      </c>
      <c r="G52" s="27">
        <v>0.435</v>
      </c>
    </row>
    <row r="53" spans="1:7" x14ac:dyDescent="0.3">
      <c r="A53" t="s">
        <v>2176</v>
      </c>
      <c r="B53" s="2">
        <v>1670</v>
      </c>
      <c r="C53" s="301">
        <v>0.10478102647760071</v>
      </c>
      <c r="D53" s="2">
        <v>7765</v>
      </c>
      <c r="E53" s="301">
        <v>0.17925987487591477</v>
      </c>
      <c r="F53" s="2">
        <v>1570026</v>
      </c>
      <c r="G53" s="27">
        <v>0.125</v>
      </c>
    </row>
    <row r="54" spans="1:7" x14ac:dyDescent="0.3">
      <c r="A54" t="s">
        <v>2177</v>
      </c>
      <c r="B54" s="2">
        <v>7842</v>
      </c>
      <c r="C54" s="301">
        <v>0.49203162253733218</v>
      </c>
      <c r="D54" s="2">
        <v>15591</v>
      </c>
      <c r="E54" s="301">
        <v>0.35992797285130551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2178</v>
      </c>
      <c r="C1" s="370"/>
      <c r="D1" s="370"/>
      <c r="E1" s="370"/>
      <c r="F1" s="370"/>
      <c r="G1" s="370"/>
    </row>
    <row r="2" spans="1:7" x14ac:dyDescent="0.3">
      <c r="A2" t="s">
        <v>172</v>
      </c>
      <c r="B2" s="371" t="str">
        <f>Population!B3</f>
        <v>City of Madera</v>
      </c>
      <c r="C2" s="371"/>
      <c r="D2" s="371" t="str">
        <f>Population!B4</f>
        <v>Madera County</v>
      </c>
      <c r="E2" s="371"/>
      <c r="F2" s="371" t="s">
        <v>173</v>
      </c>
      <c r="G2" s="371"/>
    </row>
    <row r="3" spans="1:7" x14ac:dyDescent="0.3">
      <c r="A3" s="18"/>
      <c r="B3" s="18"/>
      <c r="C3" s="18"/>
      <c r="D3" s="18"/>
      <c r="E3" s="18"/>
      <c r="F3" s="18"/>
      <c r="G3" s="18"/>
    </row>
    <row r="4" spans="1:7" x14ac:dyDescent="0.3">
      <c r="A4" s="303" t="s">
        <v>2144</v>
      </c>
      <c r="B4" s="303"/>
      <c r="C4" s="303"/>
      <c r="D4" s="303"/>
      <c r="E4" s="303"/>
      <c r="F4" s="122"/>
      <c r="G4" s="122"/>
    </row>
    <row r="5" spans="1:7" x14ac:dyDescent="0.3">
      <c r="A5" t="s">
        <v>174</v>
      </c>
      <c r="B5" s="2">
        <v>43207</v>
      </c>
      <c r="C5" t="s">
        <v>172</v>
      </c>
      <c r="D5" s="2">
        <v>123109</v>
      </c>
      <c r="E5" t="s">
        <v>172</v>
      </c>
      <c r="F5" s="2">
        <v>33871648</v>
      </c>
      <c r="G5" s="27"/>
    </row>
    <row r="6" spans="1:7" x14ac:dyDescent="0.3">
      <c r="A6" s="18"/>
      <c r="B6" s="18"/>
      <c r="C6" s="18"/>
      <c r="D6" s="18"/>
      <c r="E6" s="18"/>
      <c r="F6" s="18"/>
      <c r="G6" s="18"/>
    </row>
    <row r="7" spans="1:7" x14ac:dyDescent="0.3">
      <c r="A7" s="303" t="s">
        <v>2179</v>
      </c>
      <c r="B7" s="303"/>
      <c r="C7" s="303"/>
      <c r="D7" s="303"/>
      <c r="E7" s="303"/>
      <c r="F7" s="122"/>
      <c r="G7" s="122"/>
    </row>
    <row r="8" spans="1:7" x14ac:dyDescent="0.3">
      <c r="A8" t="s">
        <v>174</v>
      </c>
      <c r="B8" s="2">
        <v>43207</v>
      </c>
      <c r="C8" t="s">
        <v>172</v>
      </c>
      <c r="D8" s="2">
        <v>123109</v>
      </c>
      <c r="E8" t="s">
        <v>172</v>
      </c>
      <c r="F8" s="2">
        <v>33871648</v>
      </c>
      <c r="G8" s="27"/>
    </row>
    <row r="9" spans="1:7" x14ac:dyDescent="0.3">
      <c r="A9" t="s">
        <v>2147</v>
      </c>
      <c r="B9" s="2">
        <v>20804</v>
      </c>
      <c r="C9" s="301">
        <v>0.48149605388015831</v>
      </c>
      <c r="D9" s="2">
        <v>76612</v>
      </c>
      <c r="E9" s="301">
        <v>0.62231031037535844</v>
      </c>
      <c r="F9" s="2">
        <v>20170059</v>
      </c>
      <c r="G9" s="27">
        <v>0.59499999999999997</v>
      </c>
    </row>
    <row r="10" spans="1:7" x14ac:dyDescent="0.3">
      <c r="A10" t="s">
        <v>2148</v>
      </c>
      <c r="B10" s="2">
        <v>1665</v>
      </c>
      <c r="C10" s="301">
        <v>3.8535422500983636E-2</v>
      </c>
      <c r="D10" s="2">
        <v>5072</v>
      </c>
      <c r="E10" s="301">
        <v>4.1199262442225992E-2</v>
      </c>
      <c r="F10" s="2">
        <v>2263882</v>
      </c>
      <c r="G10" s="27">
        <v>6.7000000000000004E-2</v>
      </c>
    </row>
    <row r="11" spans="1:7" x14ac:dyDescent="0.3">
      <c r="A11" t="s">
        <v>2149</v>
      </c>
      <c r="B11" s="2">
        <v>1207</v>
      </c>
      <c r="C11" s="301">
        <v>2.7935288263475827E-2</v>
      </c>
      <c r="D11" s="2">
        <v>3212</v>
      </c>
      <c r="E11" s="301">
        <v>2.6090700111283498E-2</v>
      </c>
      <c r="F11" s="2">
        <v>333346</v>
      </c>
      <c r="G11" s="27">
        <v>0.01</v>
      </c>
    </row>
    <row r="12" spans="1:7" x14ac:dyDescent="0.3">
      <c r="A12" t="s">
        <v>2150</v>
      </c>
      <c r="B12" s="2">
        <v>618</v>
      </c>
      <c r="C12" s="301">
        <v>1.4303237901265999E-2</v>
      </c>
      <c r="D12" s="2">
        <v>1566</v>
      </c>
      <c r="E12" s="301">
        <v>1.2720434736696748E-2</v>
      </c>
      <c r="F12" s="2">
        <v>3697513</v>
      </c>
      <c r="G12" s="27">
        <v>0.109</v>
      </c>
    </row>
    <row r="13" spans="1:7" x14ac:dyDescent="0.3">
      <c r="A13" t="s">
        <v>2151</v>
      </c>
      <c r="B13" s="2">
        <v>44</v>
      </c>
      <c r="C13" s="301">
        <v>1.0183535075335016E-3</v>
      </c>
      <c r="D13" s="2">
        <v>210</v>
      </c>
      <c r="E13" s="301">
        <v>1.7058054244612497E-3</v>
      </c>
      <c r="F13" s="2">
        <v>116961</v>
      </c>
      <c r="G13" s="27">
        <v>3.0000000000000001E-3</v>
      </c>
    </row>
    <row r="14" spans="1:7" x14ac:dyDescent="0.3">
      <c r="A14" t="s">
        <v>2180</v>
      </c>
      <c r="B14" s="2">
        <v>16425</v>
      </c>
      <c r="C14" s="301">
        <v>0.38014673548267641</v>
      </c>
      <c r="D14" s="2">
        <v>29979</v>
      </c>
      <c r="E14" s="301">
        <v>0.24351590866630385</v>
      </c>
      <c r="F14" s="2">
        <v>5682241</v>
      </c>
      <c r="G14" s="27">
        <v>0.16800000000000001</v>
      </c>
    </row>
    <row r="15" spans="1:7" x14ac:dyDescent="0.3">
      <c r="A15" t="s">
        <v>2181</v>
      </c>
      <c r="B15" s="2">
        <v>2444</v>
      </c>
      <c r="C15" s="301">
        <v>5.6564908463906313E-2</v>
      </c>
      <c r="D15" s="2">
        <v>6458</v>
      </c>
      <c r="E15" s="301">
        <v>5.2457578243670241E-2</v>
      </c>
      <c r="F15" s="2">
        <v>1607646</v>
      </c>
      <c r="G15" s="27">
        <v>4.7E-2</v>
      </c>
    </row>
    <row r="16" spans="1:7" x14ac:dyDescent="0.3">
      <c r="A16" s="18"/>
      <c r="B16" s="18"/>
      <c r="C16" s="18"/>
      <c r="D16" s="18"/>
      <c r="E16" s="18"/>
      <c r="F16" s="18"/>
      <c r="G16" s="18"/>
    </row>
    <row r="17" spans="1:7" x14ac:dyDescent="0.3">
      <c r="A17" s="303" t="s">
        <v>2182</v>
      </c>
      <c r="B17" s="303"/>
      <c r="C17" s="303"/>
      <c r="D17" s="303"/>
      <c r="E17" s="303"/>
      <c r="F17" s="122"/>
      <c r="G17" s="122"/>
    </row>
    <row r="18" spans="1:7" x14ac:dyDescent="0.3">
      <c r="A18" t="s">
        <v>174</v>
      </c>
      <c r="B18" s="2">
        <v>43207</v>
      </c>
      <c r="C18" t="s">
        <v>172</v>
      </c>
      <c r="D18" s="2">
        <v>123109</v>
      </c>
      <c r="E18" t="s">
        <v>172</v>
      </c>
      <c r="F18" s="2">
        <v>33871648</v>
      </c>
      <c r="G18" s="27"/>
    </row>
    <row r="19" spans="1:7" x14ac:dyDescent="0.3">
      <c r="A19" t="s">
        <v>1740</v>
      </c>
      <c r="B19" s="2">
        <v>13933</v>
      </c>
      <c r="C19" s="301">
        <v>0.32247089591964267</v>
      </c>
      <c r="D19" s="2">
        <v>68594</v>
      </c>
      <c r="E19" s="301">
        <v>0.5571810346928332</v>
      </c>
      <c r="F19" s="2">
        <v>22905092</v>
      </c>
      <c r="G19" s="27">
        <v>0.67600000000000005</v>
      </c>
    </row>
    <row r="20" spans="1:7" x14ac:dyDescent="0.3">
      <c r="A20" t="s">
        <v>2155</v>
      </c>
      <c r="B20" s="2">
        <v>10859</v>
      </c>
      <c r="C20" s="301">
        <v>0.25132501677968849</v>
      </c>
      <c r="D20" s="2">
        <v>57391</v>
      </c>
      <c r="E20" s="301">
        <v>0.46618037673931234</v>
      </c>
      <c r="F20" s="2">
        <v>15816790</v>
      </c>
      <c r="G20" s="27">
        <v>0.46700000000000003</v>
      </c>
    </row>
    <row r="21" spans="1:7" x14ac:dyDescent="0.3">
      <c r="A21" t="s">
        <v>2156</v>
      </c>
      <c r="B21" s="2">
        <v>1426</v>
      </c>
      <c r="C21" s="301">
        <v>3.3003911403244844E-2</v>
      </c>
      <c r="D21" s="2">
        <v>4710</v>
      </c>
      <c r="E21" s="301">
        <v>3.8258778805773747E-2</v>
      </c>
      <c r="F21" s="2">
        <v>2181926</v>
      </c>
      <c r="G21" s="27">
        <v>6.4000000000000001E-2</v>
      </c>
    </row>
    <row r="22" spans="1:7" x14ac:dyDescent="0.3">
      <c r="A22" t="s">
        <v>2157</v>
      </c>
      <c r="B22" s="2">
        <v>370</v>
      </c>
      <c r="C22" s="301">
        <v>8.563427222440809E-3</v>
      </c>
      <c r="D22" s="2">
        <v>1694</v>
      </c>
      <c r="E22" s="301">
        <v>1.3760163757320748E-2</v>
      </c>
      <c r="F22" s="2">
        <v>178984</v>
      </c>
      <c r="G22" s="27">
        <v>5.0000000000000001E-3</v>
      </c>
    </row>
    <row r="23" spans="1:7" x14ac:dyDescent="0.3">
      <c r="A23" t="s">
        <v>2158</v>
      </c>
      <c r="B23" s="2">
        <v>582</v>
      </c>
      <c r="C23" s="301">
        <v>1.3470039576920407E-2</v>
      </c>
      <c r="D23" s="2">
        <v>1480</v>
      </c>
      <c r="E23" s="301">
        <v>1.2021866800964998E-2</v>
      </c>
      <c r="F23" s="2">
        <v>3648860</v>
      </c>
      <c r="G23" s="27">
        <v>0.108</v>
      </c>
    </row>
    <row r="24" spans="1:7" x14ac:dyDescent="0.3">
      <c r="A24" t="s">
        <v>2159</v>
      </c>
      <c r="B24" s="2">
        <v>30</v>
      </c>
      <c r="C24" s="301">
        <v>6.9433193695466009E-4</v>
      </c>
      <c r="D24" s="2">
        <v>160</v>
      </c>
      <c r="E24" s="301">
        <v>1.2996612757799999E-3</v>
      </c>
      <c r="F24" s="2">
        <v>103736</v>
      </c>
      <c r="G24" s="27">
        <v>3.0000000000000001E-3</v>
      </c>
    </row>
    <row r="25" spans="1:7" x14ac:dyDescent="0.3">
      <c r="A25" t="s">
        <v>2183</v>
      </c>
      <c r="B25" s="2">
        <v>51</v>
      </c>
      <c r="C25" s="301">
        <v>1.1803642928229223E-3</v>
      </c>
      <c r="D25" s="2">
        <v>287</v>
      </c>
      <c r="E25" s="301">
        <v>2.3312674134303747E-3</v>
      </c>
      <c r="F25" s="2">
        <v>71681</v>
      </c>
      <c r="G25" s="27">
        <v>2E-3</v>
      </c>
    </row>
    <row r="26" spans="1:7" x14ac:dyDescent="0.3">
      <c r="A26" t="s">
        <v>2184</v>
      </c>
      <c r="B26" s="2">
        <v>615</v>
      </c>
      <c r="C26" s="301">
        <v>1.4233804707570533E-2</v>
      </c>
      <c r="D26" s="2">
        <v>2872</v>
      </c>
      <c r="E26" s="301">
        <v>2.3328919900250999E-2</v>
      </c>
      <c r="F26" s="2">
        <v>903115</v>
      </c>
      <c r="G26" s="27">
        <v>2.7E-2</v>
      </c>
    </row>
    <row r="27" spans="1:7" x14ac:dyDescent="0.3">
      <c r="A27" t="s">
        <v>246</v>
      </c>
      <c r="B27" s="2">
        <v>29274</v>
      </c>
      <c r="C27" s="301">
        <v>0.67752910408035738</v>
      </c>
      <c r="D27" s="2">
        <v>54515</v>
      </c>
      <c r="E27" s="301">
        <v>0.4428189653071668</v>
      </c>
      <c r="F27" s="2">
        <v>10966556</v>
      </c>
      <c r="G27" s="27">
        <v>0.32400000000000001</v>
      </c>
    </row>
    <row r="28" spans="1:7" x14ac:dyDescent="0.3">
      <c r="A28" t="s">
        <v>2155</v>
      </c>
      <c r="B28" s="2">
        <v>9945</v>
      </c>
      <c r="C28" s="301">
        <v>0.23017103710046982</v>
      </c>
      <c r="D28" s="2">
        <v>19221</v>
      </c>
      <c r="E28" s="301">
        <v>0.1561299336360461</v>
      </c>
      <c r="F28" s="2">
        <v>4353269</v>
      </c>
      <c r="G28" s="27">
        <v>0.129</v>
      </c>
    </row>
    <row r="29" spans="1:7" x14ac:dyDescent="0.3">
      <c r="A29" t="s">
        <v>2156</v>
      </c>
      <c r="B29" s="2">
        <v>239</v>
      </c>
      <c r="C29" s="301">
        <v>5.5315110977387921E-3</v>
      </c>
      <c r="D29" s="2">
        <v>362</v>
      </c>
      <c r="E29" s="301">
        <v>2.9404836364522497E-3</v>
      </c>
      <c r="F29" s="2">
        <v>81956</v>
      </c>
      <c r="G29" s="27">
        <v>2E-3</v>
      </c>
    </row>
    <row r="30" spans="1:7" x14ac:dyDescent="0.3">
      <c r="A30" t="s">
        <v>2157</v>
      </c>
      <c r="B30" s="2">
        <v>837</v>
      </c>
      <c r="C30" s="301">
        <v>1.9371861041035016E-2</v>
      </c>
      <c r="D30" s="2">
        <v>1518</v>
      </c>
      <c r="E30" s="301">
        <v>1.2330536353962749E-2</v>
      </c>
      <c r="F30" s="2">
        <v>154362</v>
      </c>
      <c r="G30" s="27">
        <v>5.0000000000000001E-3</v>
      </c>
    </row>
    <row r="31" spans="1:7" x14ac:dyDescent="0.3">
      <c r="A31" t="s">
        <v>2158</v>
      </c>
      <c r="B31" s="2">
        <v>36</v>
      </c>
      <c r="C31" s="301">
        <v>8.3319832434559211E-4</v>
      </c>
      <c r="D31" s="2">
        <v>86</v>
      </c>
      <c r="E31" s="301">
        <v>6.9856793573174988E-4</v>
      </c>
      <c r="F31" s="2">
        <v>48653</v>
      </c>
      <c r="G31" s="27">
        <v>1E-3</v>
      </c>
    </row>
    <row r="32" spans="1:7" x14ac:dyDescent="0.3">
      <c r="A32" t="s">
        <v>2159</v>
      </c>
      <c r="B32" s="2">
        <v>14</v>
      </c>
      <c r="C32" s="301">
        <v>3.2402157057884141E-4</v>
      </c>
      <c r="D32" s="2">
        <v>50</v>
      </c>
      <c r="E32" s="301">
        <v>4.0614414868124998E-4</v>
      </c>
      <c r="F32" s="2">
        <v>13225</v>
      </c>
      <c r="G32" s="27">
        <v>0</v>
      </c>
    </row>
    <row r="33" spans="1:7" x14ac:dyDescent="0.3">
      <c r="A33" t="s">
        <v>2183</v>
      </c>
      <c r="B33" s="2">
        <v>16374</v>
      </c>
      <c r="C33" s="301">
        <v>0.37896637118985349</v>
      </c>
      <c r="D33" s="2">
        <v>29692</v>
      </c>
      <c r="E33" s="301">
        <v>0.24118464125287348</v>
      </c>
      <c r="F33" s="2">
        <v>5610560</v>
      </c>
      <c r="G33" s="27">
        <v>0.16600000000000001</v>
      </c>
    </row>
    <row r="34" spans="1:7" x14ac:dyDescent="0.3">
      <c r="A34" t="s">
        <v>2184</v>
      </c>
      <c r="B34" s="2">
        <v>1829</v>
      </c>
      <c r="C34" s="301">
        <v>4.2331103756335781E-2</v>
      </c>
      <c r="D34" s="2">
        <v>3586</v>
      </c>
      <c r="E34" s="301">
        <v>2.9128658343419246E-2</v>
      </c>
      <c r="F34" s="2">
        <v>704531</v>
      </c>
      <c r="G34" s="27">
        <v>2.1000000000000001E-2</v>
      </c>
    </row>
    <row r="35" spans="1:7" x14ac:dyDescent="0.3">
      <c r="A35" s="18"/>
      <c r="B35" s="18"/>
      <c r="C35" s="18"/>
      <c r="D35" s="18"/>
      <c r="E35" s="18"/>
      <c r="F35" s="18"/>
      <c r="G35" s="18"/>
    </row>
    <row r="36" spans="1:7" x14ac:dyDescent="0.3">
      <c r="A36" s="303" t="s">
        <v>2185</v>
      </c>
      <c r="B36" s="303"/>
      <c r="C36" s="303"/>
      <c r="D36" s="303"/>
      <c r="E36" s="303"/>
      <c r="F36" s="122"/>
      <c r="G36" s="122"/>
    </row>
    <row r="37" spans="1:7" x14ac:dyDescent="0.3">
      <c r="A37" t="s">
        <v>174</v>
      </c>
      <c r="B37" s="2">
        <v>11978</v>
      </c>
      <c r="C37" t="s">
        <v>172</v>
      </c>
      <c r="D37" s="2">
        <v>36155</v>
      </c>
      <c r="E37" t="s">
        <v>172</v>
      </c>
      <c r="F37" s="2">
        <v>11502870</v>
      </c>
      <c r="G37" s="27"/>
    </row>
    <row r="38" spans="1:7" x14ac:dyDescent="0.3">
      <c r="A38" s="18"/>
      <c r="B38" s="18"/>
      <c r="C38" s="18"/>
      <c r="D38" s="18"/>
      <c r="E38" s="18"/>
      <c r="F38" s="18"/>
      <c r="G38" s="18"/>
    </row>
    <row r="39" spans="1:7" x14ac:dyDescent="0.3">
      <c r="A39" s="303" t="s">
        <v>2172</v>
      </c>
      <c r="B39" s="303"/>
      <c r="C39" s="303"/>
      <c r="D39" s="303"/>
      <c r="E39" s="303"/>
      <c r="F39" s="122"/>
      <c r="G39" s="122"/>
    </row>
    <row r="40" spans="1:7" x14ac:dyDescent="0.3">
      <c r="A40" t="s">
        <v>174</v>
      </c>
      <c r="B40" s="2">
        <v>12521</v>
      </c>
      <c r="C40" t="s">
        <v>172</v>
      </c>
      <c r="D40" s="2">
        <v>40387</v>
      </c>
      <c r="E40" t="s">
        <v>172</v>
      </c>
      <c r="F40" s="2">
        <v>12214549</v>
      </c>
      <c r="G40" s="27"/>
    </row>
    <row r="41" spans="1:7" x14ac:dyDescent="0.3">
      <c r="A41" s="18"/>
      <c r="B41" s="18"/>
      <c r="C41" s="18"/>
      <c r="D41" s="18"/>
      <c r="E41" s="18"/>
      <c r="F41" s="18"/>
      <c r="G41" s="18"/>
    </row>
    <row r="42" spans="1:7" x14ac:dyDescent="0.3">
      <c r="A42" s="303" t="s">
        <v>2173</v>
      </c>
      <c r="B42" s="303"/>
      <c r="C42" s="303"/>
      <c r="D42" s="303"/>
      <c r="E42" s="303"/>
      <c r="F42" s="122"/>
      <c r="G42" s="122"/>
    </row>
    <row r="43" spans="1:7" x14ac:dyDescent="0.3">
      <c r="A43" t="s">
        <v>174</v>
      </c>
      <c r="B43" s="2">
        <v>11978</v>
      </c>
      <c r="C43" t="s">
        <v>172</v>
      </c>
      <c r="D43" s="2">
        <v>36155</v>
      </c>
      <c r="E43" t="s">
        <v>172</v>
      </c>
      <c r="F43" s="2">
        <v>11502870</v>
      </c>
      <c r="G43" s="27"/>
    </row>
    <row r="44" spans="1:7" x14ac:dyDescent="0.3">
      <c r="A44" t="s">
        <v>2186</v>
      </c>
      <c r="B44" s="2">
        <v>6310</v>
      </c>
      <c r="C44" s="301">
        <v>0.52679913174152615</v>
      </c>
      <c r="D44" s="2">
        <v>23934</v>
      </c>
      <c r="E44" s="301">
        <v>0.66198312819803629</v>
      </c>
      <c r="F44" s="2">
        <v>6546334</v>
      </c>
      <c r="G44" s="27">
        <v>0.56899999999999995</v>
      </c>
    </row>
    <row r="45" spans="1:7" x14ac:dyDescent="0.3">
      <c r="A45" t="s">
        <v>2177</v>
      </c>
      <c r="B45" s="2">
        <v>5668</v>
      </c>
      <c r="C45" s="301">
        <v>0.47320086825847385</v>
      </c>
      <c r="D45" s="2">
        <v>12221</v>
      </c>
      <c r="E45" s="301">
        <v>0.33801687180196377</v>
      </c>
      <c r="F45" s="2">
        <v>4956536</v>
      </c>
      <c r="G45" s="27">
        <v>0.43099999999999999</v>
      </c>
    </row>
    <row r="46" spans="1:7" x14ac:dyDescent="0.3">
      <c r="A46" s="18"/>
      <c r="B46" s="18"/>
      <c r="C46" s="18"/>
      <c r="D46" s="18"/>
      <c r="E46" s="18"/>
      <c r="F46" s="18"/>
      <c r="G46" s="18"/>
    </row>
    <row r="47" spans="1:7" x14ac:dyDescent="0.3">
      <c r="A47" s="303" t="s">
        <v>2187</v>
      </c>
      <c r="B47" s="303"/>
      <c r="C47" s="303"/>
      <c r="D47" s="303"/>
      <c r="E47" s="303"/>
      <c r="F47" s="122"/>
      <c r="G47" s="122"/>
    </row>
    <row r="48" spans="1:7" x14ac:dyDescent="0.3">
      <c r="A48" t="s">
        <v>2188</v>
      </c>
      <c r="B48" s="15">
        <v>527</v>
      </c>
      <c r="C48" t="s">
        <v>172</v>
      </c>
      <c r="D48" s="15">
        <v>562</v>
      </c>
      <c r="E48" t="s">
        <v>172</v>
      </c>
      <c r="F48" s="15">
        <v>1126</v>
      </c>
      <c r="G48" s="27"/>
    </row>
    <row r="49" spans="1:7" x14ac:dyDescent="0.3">
      <c r="A49" s="18"/>
      <c r="B49" s="18"/>
      <c r="C49" s="18"/>
      <c r="D49" s="18"/>
      <c r="E49" s="18"/>
      <c r="F49" s="18"/>
      <c r="G49" s="18"/>
    </row>
    <row r="50" spans="1:7" x14ac:dyDescent="0.3">
      <c r="A50" s="303" t="s">
        <v>2189</v>
      </c>
      <c r="B50" s="303"/>
      <c r="C50" s="303"/>
      <c r="D50" s="303"/>
      <c r="E50" s="303"/>
      <c r="F50" s="122"/>
      <c r="G50" s="122"/>
    </row>
    <row r="51" spans="1:7" x14ac:dyDescent="0.3">
      <c r="A51" t="s">
        <v>174</v>
      </c>
      <c r="B51" s="2">
        <v>5623</v>
      </c>
      <c r="C51" t="s">
        <v>172</v>
      </c>
      <c r="D51" s="2">
        <v>11495</v>
      </c>
      <c r="E51" t="s">
        <v>172</v>
      </c>
      <c r="F51" s="2">
        <v>4921581</v>
      </c>
      <c r="G51" s="27"/>
    </row>
    <row r="52" spans="1:7" x14ac:dyDescent="0.3">
      <c r="A52" t="s">
        <v>2190</v>
      </c>
      <c r="B52" s="2">
        <v>318</v>
      </c>
      <c r="C52" s="301">
        <v>5.655344122354615E-2</v>
      </c>
      <c r="D52" s="2">
        <v>665</v>
      </c>
      <c r="E52" s="301">
        <v>5.7851239669421489E-2</v>
      </c>
      <c r="F52" s="2">
        <v>236808</v>
      </c>
      <c r="G52" s="27">
        <v>4.8000000000000001E-2</v>
      </c>
    </row>
    <row r="53" spans="1:7" x14ac:dyDescent="0.3">
      <c r="A53" t="s">
        <v>2191</v>
      </c>
      <c r="B53" s="2">
        <v>417</v>
      </c>
      <c r="C53" s="301">
        <v>7.415970122710297E-2</v>
      </c>
      <c r="D53" s="2">
        <v>960</v>
      </c>
      <c r="E53" s="301">
        <v>8.3514571552849068E-2</v>
      </c>
      <c r="F53" s="2">
        <v>482062</v>
      </c>
      <c r="G53" s="27">
        <v>9.8000000000000004E-2</v>
      </c>
    </row>
    <row r="54" spans="1:7" x14ac:dyDescent="0.3">
      <c r="A54" t="s">
        <v>2192</v>
      </c>
      <c r="B54" s="2">
        <v>687</v>
      </c>
      <c r="C54" s="301">
        <v>0.12217677396407611</v>
      </c>
      <c r="D54" s="2">
        <v>1449</v>
      </c>
      <c r="E54" s="301">
        <v>0.12605480643758155</v>
      </c>
      <c r="F54" s="2">
        <v>668412</v>
      </c>
      <c r="G54" s="27">
        <v>0.13600000000000001</v>
      </c>
    </row>
    <row r="55" spans="1:7" x14ac:dyDescent="0.3">
      <c r="A55" t="s">
        <v>2193</v>
      </c>
      <c r="B55" s="2">
        <v>802</v>
      </c>
      <c r="C55" s="301">
        <v>0.14262849012982393</v>
      </c>
      <c r="D55" s="2">
        <v>1488</v>
      </c>
      <c r="E55" s="301">
        <v>0.12944758590691605</v>
      </c>
      <c r="F55" s="2">
        <v>645258</v>
      </c>
      <c r="G55" s="27">
        <v>0.13100000000000001</v>
      </c>
    </row>
    <row r="56" spans="1:7" x14ac:dyDescent="0.3">
      <c r="A56" t="s">
        <v>2194</v>
      </c>
      <c r="B56" s="2">
        <v>605</v>
      </c>
      <c r="C56" s="301">
        <v>0.10759381113284723</v>
      </c>
      <c r="D56" s="2">
        <v>1126</v>
      </c>
      <c r="E56" s="301">
        <v>9.7955632883862553E-2</v>
      </c>
      <c r="F56" s="2">
        <v>542046</v>
      </c>
      <c r="G56" s="27">
        <v>0.11</v>
      </c>
    </row>
    <row r="57" spans="1:7" x14ac:dyDescent="0.3">
      <c r="A57" t="s">
        <v>2195</v>
      </c>
      <c r="B57" s="2">
        <v>418</v>
      </c>
      <c r="C57" s="301">
        <v>7.4337542237239901E-2</v>
      </c>
      <c r="D57" s="2">
        <v>858</v>
      </c>
      <c r="E57" s="301">
        <v>7.4641148325358855E-2</v>
      </c>
      <c r="F57" s="2">
        <v>401761</v>
      </c>
      <c r="G57" s="27">
        <v>8.2000000000000003E-2</v>
      </c>
    </row>
    <row r="58" spans="1:7" x14ac:dyDescent="0.3">
      <c r="A58" t="s">
        <v>2196</v>
      </c>
      <c r="B58" s="2">
        <v>329</v>
      </c>
      <c r="C58" s="301">
        <v>5.850969233505246E-2</v>
      </c>
      <c r="D58" s="2">
        <v>547</v>
      </c>
      <c r="E58" s="301">
        <v>4.7585906916050455E-2</v>
      </c>
      <c r="F58" s="2">
        <v>292315</v>
      </c>
      <c r="G58" s="27">
        <v>5.8999999999999997E-2</v>
      </c>
    </row>
    <row r="59" spans="1:7" x14ac:dyDescent="0.3">
      <c r="A59" t="s">
        <v>2197</v>
      </c>
      <c r="B59" s="2">
        <v>441</v>
      </c>
      <c r="C59" s="301">
        <v>7.8427885470389466E-2</v>
      </c>
      <c r="D59" s="2">
        <v>804</v>
      </c>
      <c r="E59" s="301">
        <v>6.9943453675511094E-2</v>
      </c>
      <c r="F59" s="2">
        <v>391662</v>
      </c>
      <c r="G59" s="27">
        <v>0.08</v>
      </c>
    </row>
    <row r="60" spans="1:7" x14ac:dyDescent="0.3">
      <c r="A60" t="s">
        <v>2198</v>
      </c>
      <c r="B60" s="2">
        <v>1345</v>
      </c>
      <c r="C60" s="301">
        <v>0.23919615863418103</v>
      </c>
      <c r="D60" s="2">
        <v>2436</v>
      </c>
      <c r="E60" s="301">
        <v>0.21191822531535451</v>
      </c>
      <c r="F60" s="2">
        <v>993957</v>
      </c>
      <c r="G60" s="27">
        <v>0.20200000000000001</v>
      </c>
    </row>
    <row r="61" spans="1:7" x14ac:dyDescent="0.3">
      <c r="A61" t="s">
        <v>2199</v>
      </c>
      <c r="B61" s="2">
        <v>261</v>
      </c>
      <c r="C61" s="301">
        <v>4.6416503645740709E-2</v>
      </c>
      <c r="D61" s="2">
        <v>1162</v>
      </c>
      <c r="E61" s="301">
        <v>0.10108742931709438</v>
      </c>
      <c r="F61" s="2">
        <v>267300</v>
      </c>
      <c r="G61" s="27">
        <v>5.3999999999999999E-2</v>
      </c>
    </row>
    <row r="62" spans="1:7" x14ac:dyDescent="0.3">
      <c r="A62" s="18"/>
      <c r="B62" s="18"/>
      <c r="C62" s="18"/>
      <c r="D62" s="18"/>
      <c r="E62" s="18"/>
      <c r="F62" s="18"/>
      <c r="G62" s="18"/>
    </row>
    <row r="63" spans="1:7" x14ac:dyDescent="0.3">
      <c r="A63" s="303" t="s">
        <v>2200</v>
      </c>
      <c r="B63" s="303"/>
      <c r="C63" s="303"/>
      <c r="D63" s="303"/>
      <c r="E63" s="303"/>
      <c r="F63" s="122"/>
      <c r="G63" s="122"/>
    </row>
    <row r="64" spans="1:7" x14ac:dyDescent="0.3">
      <c r="A64" t="s">
        <v>2201</v>
      </c>
      <c r="B64" s="15">
        <v>92300</v>
      </c>
      <c r="C64" t="s">
        <v>172</v>
      </c>
      <c r="D64" s="15">
        <v>118300</v>
      </c>
      <c r="E64" t="s">
        <v>172</v>
      </c>
      <c r="F64" s="15">
        <v>299805</v>
      </c>
      <c r="G64" s="27"/>
    </row>
    <row r="65" spans="1:7" x14ac:dyDescent="0.3">
      <c r="A65" s="18"/>
      <c r="B65" s="18"/>
      <c r="C65" s="18"/>
      <c r="D65" s="18"/>
      <c r="E65" s="18"/>
      <c r="F65" s="18"/>
      <c r="G65" s="18"/>
    </row>
    <row r="66" spans="1:7" x14ac:dyDescent="0.3">
      <c r="A66" s="303" t="s">
        <v>2202</v>
      </c>
      <c r="B66" s="303"/>
      <c r="C66" s="303"/>
      <c r="D66" s="303"/>
      <c r="E66" s="303"/>
      <c r="F66" s="122"/>
      <c r="G66" s="122"/>
    </row>
    <row r="67" spans="1:7" x14ac:dyDescent="0.3">
      <c r="A67" t="s">
        <v>174</v>
      </c>
      <c r="B67" s="2">
        <v>5815</v>
      </c>
      <c r="C67" t="s">
        <v>172</v>
      </c>
      <c r="D67" s="2">
        <v>19155</v>
      </c>
      <c r="E67" t="s">
        <v>172</v>
      </c>
      <c r="F67" s="2">
        <v>5527618</v>
      </c>
      <c r="G67" s="27"/>
    </row>
    <row r="68" spans="1:7" x14ac:dyDescent="0.3">
      <c r="A68" t="s">
        <v>2203</v>
      </c>
      <c r="B68" s="2">
        <v>4309</v>
      </c>
      <c r="C68" s="301">
        <v>0.74101461736887364</v>
      </c>
      <c r="D68" s="2">
        <v>14199</v>
      </c>
      <c r="E68" s="301">
        <v>0.74126859827721225</v>
      </c>
      <c r="F68" s="2">
        <v>4367361</v>
      </c>
      <c r="G68" s="27">
        <v>0.79</v>
      </c>
    </row>
    <row r="69" spans="1:7" x14ac:dyDescent="0.3">
      <c r="A69" t="s">
        <v>2204</v>
      </c>
      <c r="B69" s="2">
        <v>150</v>
      </c>
      <c r="C69" s="301">
        <v>2.5795356835769563E-2</v>
      </c>
      <c r="D69" s="2">
        <v>756</v>
      </c>
      <c r="E69" s="301">
        <v>3.946750195771339E-2</v>
      </c>
      <c r="F69" s="2">
        <v>243785</v>
      </c>
      <c r="G69" s="27">
        <v>4.3999999999999997E-2</v>
      </c>
    </row>
    <row r="70" spans="1:7" x14ac:dyDescent="0.3">
      <c r="A70" t="s">
        <v>2205</v>
      </c>
      <c r="B70" s="2">
        <v>448</v>
      </c>
      <c r="C70" s="301">
        <v>7.7042132416165088E-2</v>
      </c>
      <c r="D70" s="2">
        <v>1517</v>
      </c>
      <c r="E70" s="301">
        <v>7.9196032367528063E-2</v>
      </c>
      <c r="F70" s="2">
        <v>480452</v>
      </c>
      <c r="G70" s="27">
        <v>8.6999999999999994E-2</v>
      </c>
    </row>
    <row r="71" spans="1:7" x14ac:dyDescent="0.3">
      <c r="A71" t="s">
        <v>2206</v>
      </c>
      <c r="B71" s="2">
        <v>745</v>
      </c>
      <c r="C71" s="301">
        <v>0.12811693895098883</v>
      </c>
      <c r="D71" s="2">
        <v>2446</v>
      </c>
      <c r="E71" s="301">
        <v>0.1276951187679457</v>
      </c>
      <c r="F71" s="2">
        <v>698744</v>
      </c>
      <c r="G71" s="27">
        <v>0.126</v>
      </c>
    </row>
    <row r="72" spans="1:7" x14ac:dyDescent="0.3">
      <c r="A72" t="s">
        <v>2207</v>
      </c>
      <c r="B72" s="2">
        <v>694</v>
      </c>
      <c r="C72" s="301">
        <v>0.11934651762682717</v>
      </c>
      <c r="D72" s="2">
        <v>2341</v>
      </c>
      <c r="E72" s="301">
        <v>0.12221352127381885</v>
      </c>
      <c r="F72" s="2">
        <v>717600</v>
      </c>
      <c r="G72" s="27">
        <v>0.13</v>
      </c>
    </row>
    <row r="73" spans="1:7" x14ac:dyDescent="0.3">
      <c r="A73" t="s">
        <v>2208</v>
      </c>
      <c r="B73" s="2">
        <v>573</v>
      </c>
      <c r="C73" s="301">
        <v>9.8538263112639718E-2</v>
      </c>
      <c r="D73" s="2">
        <v>1777</v>
      </c>
      <c r="E73" s="301">
        <v>9.2769511876794566E-2</v>
      </c>
      <c r="F73" s="2">
        <v>586666</v>
      </c>
      <c r="G73" s="27">
        <v>0.106</v>
      </c>
    </row>
    <row r="74" spans="1:7" x14ac:dyDescent="0.3">
      <c r="A74" t="s">
        <v>2209</v>
      </c>
      <c r="B74" s="2">
        <v>379</v>
      </c>
      <c r="C74" s="301">
        <v>6.5176268271711094E-2</v>
      </c>
      <c r="D74" s="2">
        <v>1413</v>
      </c>
      <c r="E74" s="301">
        <v>7.3766640563821456E-2</v>
      </c>
      <c r="F74" s="2">
        <v>418295</v>
      </c>
      <c r="G74" s="27">
        <v>7.5999999999999998E-2</v>
      </c>
    </row>
    <row r="75" spans="1:7" x14ac:dyDescent="0.3">
      <c r="A75" t="s">
        <v>2210</v>
      </c>
      <c r="B75" s="2">
        <v>272</v>
      </c>
      <c r="C75" s="301">
        <v>4.6775580395528808E-2</v>
      </c>
      <c r="D75" s="2">
        <v>789</v>
      </c>
      <c r="E75" s="301">
        <v>4.1190289741581836E-2</v>
      </c>
      <c r="F75" s="2">
        <v>284209</v>
      </c>
      <c r="G75" s="27">
        <v>5.0999999999999997E-2</v>
      </c>
    </row>
    <row r="76" spans="1:7" x14ac:dyDescent="0.3">
      <c r="A76" t="s">
        <v>2211</v>
      </c>
      <c r="B76" s="2">
        <v>342</v>
      </c>
      <c r="C76" s="301">
        <v>5.88134135855546E-2</v>
      </c>
      <c r="D76" s="2">
        <v>995</v>
      </c>
      <c r="E76" s="301">
        <v>5.1944661968154532E-2</v>
      </c>
      <c r="F76" s="2">
        <v>330325</v>
      </c>
      <c r="G76" s="27">
        <v>0.06</v>
      </c>
    </row>
    <row r="77" spans="1:7" x14ac:dyDescent="0.3">
      <c r="A77" t="s">
        <v>2212</v>
      </c>
      <c r="B77" s="2">
        <v>676</v>
      </c>
      <c r="C77" s="301">
        <v>0.11625107480653482</v>
      </c>
      <c r="D77" s="2">
        <v>2087</v>
      </c>
      <c r="E77" s="301">
        <v>0.10895327590707388</v>
      </c>
      <c r="F77" s="2">
        <v>583868</v>
      </c>
      <c r="G77" s="27">
        <v>0.106</v>
      </c>
    </row>
    <row r="78" spans="1:7" x14ac:dyDescent="0.3">
      <c r="A78" t="s">
        <v>2213</v>
      </c>
      <c r="B78" s="2">
        <v>30</v>
      </c>
      <c r="C78" s="301">
        <v>5.1590713671539126E-3</v>
      </c>
      <c r="D78" s="2">
        <v>78</v>
      </c>
      <c r="E78" s="301">
        <v>4.0720438527799534E-3</v>
      </c>
      <c r="F78" s="2">
        <v>23417</v>
      </c>
      <c r="G78" s="27">
        <v>4.0000000000000001E-3</v>
      </c>
    </row>
    <row r="79" spans="1:7" x14ac:dyDescent="0.3">
      <c r="A79" t="s">
        <v>2214</v>
      </c>
      <c r="B79" s="2">
        <v>1506</v>
      </c>
      <c r="C79" s="301">
        <v>0.25898538263112642</v>
      </c>
      <c r="D79" s="2">
        <v>4956</v>
      </c>
      <c r="E79" s="301">
        <v>0.2587314017227878</v>
      </c>
      <c r="F79" s="2">
        <v>1160257</v>
      </c>
      <c r="G79" s="27">
        <v>0.21</v>
      </c>
    </row>
    <row r="80" spans="1:7" x14ac:dyDescent="0.3">
      <c r="A80" t="s">
        <v>2204</v>
      </c>
      <c r="B80" s="2">
        <v>804</v>
      </c>
      <c r="C80" s="301">
        <v>0.13826311263972485</v>
      </c>
      <c r="D80" s="2">
        <v>2275</v>
      </c>
      <c r="E80" s="301">
        <v>0.11876794570608196</v>
      </c>
      <c r="F80" s="2">
        <v>615736</v>
      </c>
      <c r="G80" s="27">
        <v>0.111</v>
      </c>
    </row>
    <row r="81" spans="1:7" x14ac:dyDescent="0.3">
      <c r="A81" t="s">
        <v>2205</v>
      </c>
      <c r="B81" s="2">
        <v>310</v>
      </c>
      <c r="C81" s="301">
        <v>5.3310404127257092E-2</v>
      </c>
      <c r="D81" s="2">
        <v>937</v>
      </c>
      <c r="E81" s="301">
        <v>4.891673192377969E-2</v>
      </c>
      <c r="F81" s="2">
        <v>209675</v>
      </c>
      <c r="G81" s="27">
        <v>3.7999999999999999E-2</v>
      </c>
    </row>
    <row r="82" spans="1:7" x14ac:dyDescent="0.3">
      <c r="A82" t="s">
        <v>2206</v>
      </c>
      <c r="B82" s="2">
        <v>122</v>
      </c>
      <c r="C82" s="301">
        <v>2.0980223559759242E-2</v>
      </c>
      <c r="D82" s="2">
        <v>605</v>
      </c>
      <c r="E82" s="301">
        <v>3.1584442704254763E-2</v>
      </c>
      <c r="F82" s="2">
        <v>106652</v>
      </c>
      <c r="G82" s="27">
        <v>1.9E-2</v>
      </c>
    </row>
    <row r="83" spans="1:7" x14ac:dyDescent="0.3">
      <c r="A83" t="s">
        <v>2207</v>
      </c>
      <c r="B83" s="2">
        <v>26</v>
      </c>
      <c r="C83" s="301">
        <v>4.4711951848667242E-3</v>
      </c>
      <c r="D83" s="2">
        <v>282</v>
      </c>
      <c r="E83" s="301">
        <v>1.4722004698512137E-2</v>
      </c>
      <c r="F83" s="2">
        <v>61763</v>
      </c>
      <c r="G83" s="27">
        <v>1.0999999999999999E-2</v>
      </c>
    </row>
    <row r="84" spans="1:7" x14ac:dyDescent="0.3">
      <c r="A84" t="s">
        <v>2208</v>
      </c>
      <c r="B84" s="2">
        <v>63</v>
      </c>
      <c r="C84" s="301">
        <v>1.0834049871023215E-2</v>
      </c>
      <c r="D84" s="2">
        <v>204</v>
      </c>
      <c r="E84" s="301">
        <v>1.0649960845732186E-2</v>
      </c>
      <c r="F84" s="2">
        <v>37478</v>
      </c>
      <c r="G84" s="27">
        <v>7.0000000000000001E-3</v>
      </c>
    </row>
    <row r="85" spans="1:7" x14ac:dyDescent="0.3">
      <c r="A85" t="s">
        <v>2209</v>
      </c>
      <c r="B85" s="2">
        <v>43</v>
      </c>
      <c r="C85" s="301">
        <v>7.3946689595872743E-3</v>
      </c>
      <c r="D85" s="2">
        <v>154</v>
      </c>
      <c r="E85" s="301">
        <v>8.0396763247193945E-3</v>
      </c>
      <c r="F85" s="2">
        <v>25017</v>
      </c>
      <c r="G85" s="27">
        <v>5.0000000000000001E-3</v>
      </c>
    </row>
    <row r="86" spans="1:7" x14ac:dyDescent="0.3">
      <c r="A86" t="s">
        <v>2210</v>
      </c>
      <c r="B86" s="2">
        <v>15</v>
      </c>
      <c r="C86" s="301">
        <v>2.5795356835769563E-3</v>
      </c>
      <c r="D86" s="2">
        <v>74</v>
      </c>
      <c r="E86" s="301">
        <v>3.8632210910989296E-3</v>
      </c>
      <c r="F86" s="2">
        <v>17678</v>
      </c>
      <c r="G86" s="27">
        <v>3.0000000000000001E-3</v>
      </c>
    </row>
    <row r="87" spans="1:7" x14ac:dyDescent="0.3">
      <c r="A87" t="s">
        <v>2211</v>
      </c>
      <c r="B87" s="2">
        <v>12</v>
      </c>
      <c r="C87" s="301">
        <v>2.0636285468615648E-3</v>
      </c>
      <c r="D87" s="2">
        <v>84</v>
      </c>
      <c r="E87" s="301">
        <v>4.3852779953014879E-3</v>
      </c>
      <c r="F87" s="2">
        <v>21053</v>
      </c>
      <c r="G87" s="27">
        <v>4.0000000000000001E-3</v>
      </c>
    </row>
    <row r="88" spans="1:7" x14ac:dyDescent="0.3">
      <c r="A88" t="s">
        <v>2212</v>
      </c>
      <c r="B88" s="2">
        <v>65</v>
      </c>
      <c r="C88" s="301">
        <v>1.117798796216681E-2</v>
      </c>
      <c r="D88" s="2">
        <v>256</v>
      </c>
      <c r="E88" s="301">
        <v>1.3364656747585487E-2</v>
      </c>
      <c r="F88" s="2">
        <v>46514</v>
      </c>
      <c r="G88" s="27">
        <v>8.0000000000000002E-3</v>
      </c>
    </row>
    <row r="89" spans="1:7" x14ac:dyDescent="0.3">
      <c r="A89" t="s">
        <v>2213</v>
      </c>
      <c r="B89" s="2">
        <v>46</v>
      </c>
      <c r="C89" s="301">
        <v>7.9105760963026663E-3</v>
      </c>
      <c r="D89" s="2">
        <v>85</v>
      </c>
      <c r="E89" s="301">
        <v>4.437483685721744E-3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2215</v>
      </c>
      <c r="C1" s="370"/>
      <c r="D1" s="370"/>
      <c r="E1" s="370"/>
      <c r="F1" s="370"/>
      <c r="G1" s="370"/>
    </row>
    <row r="2" spans="1:7" x14ac:dyDescent="0.3">
      <c r="A2" t="s">
        <v>172</v>
      </c>
      <c r="B2" s="371" t="str">
        <f>Population!B3</f>
        <v>City of Madera</v>
      </c>
      <c r="C2" s="371"/>
      <c r="D2" s="371" t="str">
        <f>Population!B4</f>
        <v>Madera County</v>
      </c>
      <c r="E2" s="371"/>
      <c r="F2" s="371" t="s">
        <v>173</v>
      </c>
      <c r="G2" s="371"/>
    </row>
    <row r="3" spans="1:7" x14ac:dyDescent="0.3">
      <c r="A3" s="18"/>
      <c r="B3" s="18"/>
      <c r="C3" s="18"/>
      <c r="D3" s="18"/>
      <c r="E3" s="18"/>
      <c r="F3" s="18"/>
      <c r="G3" s="18"/>
    </row>
    <row r="4" spans="1:7" x14ac:dyDescent="0.3">
      <c r="A4" s="303" t="s">
        <v>2216</v>
      </c>
      <c r="B4" s="303"/>
      <c r="C4" s="303"/>
      <c r="D4" s="303"/>
      <c r="E4" s="303"/>
      <c r="F4" s="122"/>
      <c r="G4" s="122"/>
    </row>
    <row r="5" spans="1:7" x14ac:dyDescent="0.3">
      <c r="A5" t="s">
        <v>2217</v>
      </c>
      <c r="B5" s="2">
        <v>29281</v>
      </c>
      <c r="C5" t="s">
        <v>172</v>
      </c>
      <c r="D5" s="2">
        <v>88090</v>
      </c>
      <c r="E5" t="s">
        <v>172</v>
      </c>
      <c r="F5" s="2">
        <v>29760021</v>
      </c>
      <c r="G5" s="27"/>
    </row>
    <row r="6" spans="1:7" x14ac:dyDescent="0.3">
      <c r="A6" s="18"/>
      <c r="B6" s="18"/>
      <c r="C6" s="18"/>
      <c r="D6" s="18"/>
      <c r="E6" s="18"/>
      <c r="F6" s="18"/>
      <c r="G6" s="18"/>
    </row>
    <row r="7" spans="1:7" x14ac:dyDescent="0.3">
      <c r="A7" s="303" t="s">
        <v>2218</v>
      </c>
      <c r="B7" s="303"/>
      <c r="C7" s="303"/>
      <c r="D7" s="303"/>
      <c r="E7" s="303"/>
      <c r="F7" s="122"/>
      <c r="G7" s="122"/>
    </row>
    <row r="8" spans="1:7" x14ac:dyDescent="0.3">
      <c r="A8" t="s">
        <v>2219</v>
      </c>
      <c r="B8" s="2">
        <v>9159</v>
      </c>
      <c r="C8" t="s">
        <v>172</v>
      </c>
      <c r="D8" s="2">
        <v>28370</v>
      </c>
      <c r="E8" t="s">
        <v>172</v>
      </c>
      <c r="F8" s="2">
        <v>10381206</v>
      </c>
      <c r="G8" s="27"/>
    </row>
    <row r="9" spans="1:7" x14ac:dyDescent="0.3">
      <c r="A9" s="18"/>
      <c r="B9" s="18"/>
      <c r="C9" s="18"/>
      <c r="D9" s="18"/>
      <c r="E9" s="18"/>
      <c r="F9" s="18"/>
      <c r="G9" s="18"/>
    </row>
    <row r="10" spans="1:7" x14ac:dyDescent="0.3">
      <c r="A10" s="303" t="s">
        <v>2220</v>
      </c>
      <c r="B10" s="303"/>
      <c r="C10" s="303"/>
      <c r="D10" s="303"/>
      <c r="E10" s="303"/>
      <c r="F10" s="122"/>
      <c r="G10" s="122"/>
    </row>
    <row r="11" spans="1:7" x14ac:dyDescent="0.3">
      <c r="A11" t="s">
        <v>2221</v>
      </c>
      <c r="B11" s="2">
        <v>9530</v>
      </c>
      <c r="C11" t="s">
        <v>172</v>
      </c>
      <c r="D11" s="2">
        <v>30831</v>
      </c>
      <c r="E11" t="s">
        <v>172</v>
      </c>
      <c r="F11" s="2">
        <v>11182882</v>
      </c>
      <c r="G11" s="27"/>
    </row>
    <row r="12" spans="1:7" x14ac:dyDescent="0.3">
      <c r="A12" s="18"/>
      <c r="B12" s="18"/>
      <c r="C12" s="18"/>
      <c r="D12" s="18"/>
      <c r="E12" s="18"/>
      <c r="F12" s="18"/>
      <c r="G12" s="18"/>
    </row>
    <row r="13" spans="1:7" x14ac:dyDescent="0.3">
      <c r="A13" s="303" t="s">
        <v>2222</v>
      </c>
      <c r="B13" s="303"/>
      <c r="C13" s="303"/>
      <c r="D13" s="303"/>
      <c r="E13" s="303"/>
      <c r="F13" s="122"/>
      <c r="G13" s="122"/>
    </row>
    <row r="14" spans="1:7" x14ac:dyDescent="0.3">
      <c r="A14" t="s">
        <v>2223</v>
      </c>
      <c r="B14" s="2">
        <v>9159</v>
      </c>
      <c r="C14" t="s">
        <v>172</v>
      </c>
      <c r="D14" s="2">
        <v>28370</v>
      </c>
      <c r="E14" t="s">
        <v>172</v>
      </c>
      <c r="F14" s="2">
        <v>10381206</v>
      </c>
      <c r="G14" s="27"/>
    </row>
    <row r="15" spans="1:7" x14ac:dyDescent="0.3">
      <c r="A15" t="s">
        <v>2186</v>
      </c>
      <c r="B15" s="2">
        <v>4637</v>
      </c>
      <c r="C15" s="301">
        <v>0.50627797794519047</v>
      </c>
      <c r="D15" s="2">
        <v>18418</v>
      </c>
      <c r="E15" s="301">
        <v>0.64920690870637998</v>
      </c>
      <c r="F15" s="2">
        <v>5773943</v>
      </c>
      <c r="G15" s="27">
        <v>0.55619192991642785</v>
      </c>
    </row>
    <row r="16" spans="1:7" x14ac:dyDescent="0.3">
      <c r="A16" t="s">
        <v>2177</v>
      </c>
      <c r="B16" s="2">
        <v>4522</v>
      </c>
      <c r="C16" s="301">
        <v>0.49372202205480947</v>
      </c>
      <c r="D16" s="2">
        <v>9952</v>
      </c>
      <c r="E16" s="301">
        <v>0.35079309129362002</v>
      </c>
      <c r="F16" s="2">
        <v>4607263</v>
      </c>
      <c r="G16" s="27">
        <v>0.4438080700835722</v>
      </c>
    </row>
    <row r="17" spans="1:7" x14ac:dyDescent="0.3">
      <c r="A17" s="18"/>
      <c r="B17" s="18"/>
      <c r="C17" s="18"/>
      <c r="D17" s="18"/>
      <c r="E17" s="18"/>
      <c r="F17" s="18"/>
      <c r="G17" s="18"/>
    </row>
    <row r="18" spans="1:7" x14ac:dyDescent="0.3">
      <c r="A18" s="303" t="s">
        <v>2224</v>
      </c>
      <c r="B18" s="303"/>
      <c r="C18" s="303"/>
      <c r="D18" s="303"/>
      <c r="E18" s="303"/>
      <c r="F18" s="122"/>
      <c r="G18" s="122"/>
    </row>
    <row r="19" spans="1:7" x14ac:dyDescent="0.3">
      <c r="A19" t="s">
        <v>2225</v>
      </c>
      <c r="B19" s="2">
        <v>4482</v>
      </c>
      <c r="C19" t="s">
        <v>172</v>
      </c>
      <c r="D19" s="2">
        <v>9067</v>
      </c>
      <c r="E19" t="s">
        <v>172</v>
      </c>
      <c r="F19" s="2">
        <v>4553387</v>
      </c>
      <c r="G19" s="27"/>
    </row>
    <row r="20" spans="1:7" x14ac:dyDescent="0.3">
      <c r="A20" t="s">
        <v>2226</v>
      </c>
      <c r="B20" s="2">
        <v>1299</v>
      </c>
      <c r="C20" s="301">
        <v>0.28982597054886211</v>
      </c>
      <c r="D20" s="2">
        <v>2391</v>
      </c>
      <c r="E20" s="301">
        <v>0.263703540311018</v>
      </c>
      <c r="F20" s="2">
        <v>815692</v>
      </c>
      <c r="G20" s="27">
        <v>0.17913961629002761</v>
      </c>
    </row>
    <row r="21" spans="1:7" x14ac:dyDescent="0.3">
      <c r="A21" t="s">
        <v>2227</v>
      </c>
      <c r="B21" s="2">
        <v>9</v>
      </c>
      <c r="C21" s="301">
        <v>2.008032128514056E-3</v>
      </c>
      <c r="D21" s="2">
        <v>28</v>
      </c>
      <c r="E21" s="301">
        <v>3.0881217602294034E-3</v>
      </c>
      <c r="F21" s="2">
        <v>6901</v>
      </c>
      <c r="G21" s="27">
        <v>1.5155751092538368E-3</v>
      </c>
    </row>
    <row r="22" spans="1:7" x14ac:dyDescent="0.3">
      <c r="A22" t="s">
        <v>2207</v>
      </c>
      <c r="B22" s="2">
        <v>17</v>
      </c>
      <c r="C22" s="301">
        <v>3.7929495760821064E-3</v>
      </c>
      <c r="D22" s="2">
        <v>52</v>
      </c>
      <c r="E22" s="301">
        <v>5.7350832689974634E-3</v>
      </c>
      <c r="F22" s="2">
        <v>14992</v>
      </c>
      <c r="G22" s="27">
        <v>3.2924941367821359E-3</v>
      </c>
    </row>
    <row r="23" spans="1:7" x14ac:dyDescent="0.3">
      <c r="A23" t="s">
        <v>2208</v>
      </c>
      <c r="B23" s="2">
        <v>85</v>
      </c>
      <c r="C23" s="301">
        <v>1.896474788041053E-2</v>
      </c>
      <c r="D23" s="2">
        <v>111</v>
      </c>
      <c r="E23" s="301">
        <v>1.2242196978052277E-2</v>
      </c>
      <c r="F23" s="2">
        <v>40911</v>
      </c>
      <c r="G23" s="27">
        <v>8.9847403701903659E-3</v>
      </c>
    </row>
    <row r="24" spans="1:7" x14ac:dyDescent="0.3">
      <c r="A24" t="s">
        <v>2209</v>
      </c>
      <c r="B24" s="2">
        <v>59</v>
      </c>
      <c r="C24" s="301">
        <v>1.3163766175814369E-2</v>
      </c>
      <c r="D24" s="2">
        <v>120</v>
      </c>
      <c r="E24" s="301">
        <v>1.32348075438403E-2</v>
      </c>
      <c r="F24" s="2">
        <v>33815</v>
      </c>
      <c r="G24" s="27">
        <v>7.4263399970176044E-3</v>
      </c>
    </row>
    <row r="25" spans="1:7" x14ac:dyDescent="0.3">
      <c r="A25" t="s">
        <v>2228</v>
      </c>
      <c r="B25" s="2">
        <v>1003</v>
      </c>
      <c r="C25" s="301">
        <v>0.22378402498884425</v>
      </c>
      <c r="D25" s="2">
        <v>1732</v>
      </c>
      <c r="E25" s="301">
        <v>0.19102238888276166</v>
      </c>
      <c r="F25" s="2">
        <v>614809</v>
      </c>
      <c r="G25" s="27">
        <v>0.13502234710117986</v>
      </c>
    </row>
    <row r="26" spans="1:7" x14ac:dyDescent="0.3">
      <c r="A26" t="s">
        <v>2213</v>
      </c>
      <c r="B26" s="2">
        <v>126</v>
      </c>
      <c r="C26" s="301">
        <v>2.8112449799196786E-2</v>
      </c>
      <c r="D26" s="2">
        <v>348</v>
      </c>
      <c r="E26" s="301">
        <v>3.8380941877136872E-2</v>
      </c>
      <c r="F26" s="2">
        <v>104264</v>
      </c>
      <c r="G26" s="27">
        <v>2.289811957560383E-2</v>
      </c>
    </row>
    <row r="27" spans="1:7" x14ac:dyDescent="0.3">
      <c r="A27" t="s">
        <v>2229</v>
      </c>
      <c r="B27" s="2">
        <v>1367</v>
      </c>
      <c r="C27" s="301">
        <v>0.30499776885319052</v>
      </c>
      <c r="D27" s="2">
        <v>2548</v>
      </c>
      <c r="E27" s="301">
        <v>0.28101908018087568</v>
      </c>
      <c r="F27" s="2">
        <v>963099</v>
      </c>
      <c r="G27" s="27">
        <v>0.21151266079513997</v>
      </c>
    </row>
    <row r="28" spans="1:7" x14ac:dyDescent="0.3">
      <c r="A28" t="s">
        <v>2227</v>
      </c>
      <c r="B28" s="2">
        <v>124</v>
      </c>
      <c r="C28" s="301">
        <v>2.7666220437304774E-2</v>
      </c>
      <c r="D28" s="2">
        <v>247</v>
      </c>
      <c r="E28" s="301">
        <v>2.7241645527737952E-2</v>
      </c>
      <c r="F28" s="2">
        <v>37339</v>
      </c>
      <c r="G28" s="27">
        <v>8.2002693818908866E-3</v>
      </c>
    </row>
    <row r="29" spans="1:7" x14ac:dyDescent="0.3">
      <c r="A29" t="s">
        <v>2207</v>
      </c>
      <c r="B29" s="2">
        <v>142</v>
      </c>
      <c r="C29" s="301">
        <v>3.1682284694332888E-2</v>
      </c>
      <c r="D29" s="2">
        <v>237</v>
      </c>
      <c r="E29" s="301">
        <v>2.6138744899084593E-2</v>
      </c>
      <c r="F29" s="2">
        <v>46888</v>
      </c>
      <c r="G29" s="27">
        <v>1.0297389613489914E-2</v>
      </c>
    </row>
    <row r="30" spans="1:7" x14ac:dyDescent="0.3">
      <c r="A30" t="s">
        <v>2208</v>
      </c>
      <c r="B30" s="2">
        <v>229</v>
      </c>
      <c r="C30" s="301">
        <v>5.109326193663543E-2</v>
      </c>
      <c r="D30" s="2">
        <v>358</v>
      </c>
      <c r="E30" s="301">
        <v>3.9483842505790227E-2</v>
      </c>
      <c r="F30" s="2">
        <v>82147</v>
      </c>
      <c r="G30" s="27">
        <v>1.8040856180245608E-2</v>
      </c>
    </row>
    <row r="31" spans="1:7" x14ac:dyDescent="0.3">
      <c r="A31" t="s">
        <v>2209</v>
      </c>
      <c r="B31" s="2">
        <v>246</v>
      </c>
      <c r="C31" s="301">
        <v>5.4886211512717539E-2</v>
      </c>
      <c r="D31" s="2">
        <v>455</v>
      </c>
      <c r="E31" s="301">
        <v>5.0181978603727806E-2</v>
      </c>
      <c r="F31" s="2">
        <v>103519</v>
      </c>
      <c r="G31" s="27">
        <v>2.2734505105759733E-2</v>
      </c>
    </row>
    <row r="32" spans="1:7" x14ac:dyDescent="0.3">
      <c r="A32" t="s">
        <v>2228</v>
      </c>
      <c r="B32" s="2">
        <v>563</v>
      </c>
      <c r="C32" s="301">
        <v>0.12561356537260152</v>
      </c>
      <c r="D32" s="2">
        <v>997</v>
      </c>
      <c r="E32" s="301">
        <v>0.10995919267673983</v>
      </c>
      <c r="F32" s="2">
        <v>662158</v>
      </c>
      <c r="G32" s="27">
        <v>0.14542098003090886</v>
      </c>
    </row>
    <row r="33" spans="1:7" x14ac:dyDescent="0.3">
      <c r="A33" t="s">
        <v>2213</v>
      </c>
      <c r="B33" s="2">
        <v>63</v>
      </c>
      <c r="C33" s="301">
        <v>1.4056224899598393E-2</v>
      </c>
      <c r="D33" s="2">
        <v>254</v>
      </c>
      <c r="E33" s="301">
        <v>2.8013675967795301E-2</v>
      </c>
      <c r="F33" s="2">
        <v>31048</v>
      </c>
      <c r="G33" s="27">
        <v>6.8186604828449678E-3</v>
      </c>
    </row>
    <row r="34" spans="1:7" x14ac:dyDescent="0.3">
      <c r="A34" t="s">
        <v>2230</v>
      </c>
      <c r="B34" s="2">
        <v>1281</v>
      </c>
      <c r="C34" s="301">
        <v>0.285809906291834</v>
      </c>
      <c r="D34" s="2">
        <v>2523</v>
      </c>
      <c r="E34" s="301">
        <v>0.27826182860924231</v>
      </c>
      <c r="F34" s="2">
        <v>1271800</v>
      </c>
      <c r="G34" s="27">
        <v>0.2793085674466062</v>
      </c>
    </row>
    <row r="35" spans="1:7" x14ac:dyDescent="0.3">
      <c r="A35" t="s">
        <v>2227</v>
      </c>
      <c r="B35" s="2">
        <v>456</v>
      </c>
      <c r="C35" s="301">
        <v>0.10174029451137885</v>
      </c>
      <c r="D35" s="2">
        <v>870</v>
      </c>
      <c r="E35" s="301">
        <v>9.5952354692842176E-2</v>
      </c>
      <c r="F35" s="2">
        <v>189949</v>
      </c>
      <c r="G35" s="27">
        <v>4.171597977505536E-2</v>
      </c>
    </row>
    <row r="36" spans="1:7" x14ac:dyDescent="0.3">
      <c r="A36" t="s">
        <v>2207</v>
      </c>
      <c r="B36" s="2">
        <v>445</v>
      </c>
      <c r="C36" s="301">
        <v>9.9286033020972775E-2</v>
      </c>
      <c r="D36" s="2">
        <v>706</v>
      </c>
      <c r="E36" s="301">
        <v>7.7864784382927099E-2</v>
      </c>
      <c r="F36" s="2">
        <v>245005</v>
      </c>
      <c r="G36" s="27">
        <v>5.3807198904903097E-2</v>
      </c>
    </row>
    <row r="37" spans="1:7" x14ac:dyDescent="0.3">
      <c r="A37" t="s">
        <v>2208</v>
      </c>
      <c r="B37" s="2">
        <v>180</v>
      </c>
      <c r="C37" s="301">
        <v>4.0160642570281124E-2</v>
      </c>
      <c r="D37" s="2">
        <v>423</v>
      </c>
      <c r="E37" s="301">
        <v>4.6652696592037059E-2</v>
      </c>
      <c r="F37" s="2">
        <v>273454</v>
      </c>
      <c r="G37" s="27">
        <v>6.0055075485567121E-2</v>
      </c>
    </row>
    <row r="38" spans="1:7" x14ac:dyDescent="0.3">
      <c r="A38" t="s">
        <v>2209</v>
      </c>
      <c r="B38" s="2">
        <v>126</v>
      </c>
      <c r="C38" s="301">
        <v>2.8112449799196786E-2</v>
      </c>
      <c r="D38" s="2">
        <v>224</v>
      </c>
      <c r="E38" s="301">
        <v>2.4704974081835227E-2</v>
      </c>
      <c r="F38" s="2">
        <v>202195</v>
      </c>
      <c r="G38" s="27">
        <v>4.4405406349163817E-2</v>
      </c>
    </row>
    <row r="39" spans="1:7" x14ac:dyDescent="0.3">
      <c r="A39" t="s">
        <v>2228</v>
      </c>
      <c r="B39" s="2">
        <v>45</v>
      </c>
      <c r="C39" s="301">
        <v>1.0040160642570281E-2</v>
      </c>
      <c r="D39" s="2">
        <v>140</v>
      </c>
      <c r="E39" s="301">
        <v>1.5440608801147017E-2</v>
      </c>
      <c r="F39" s="2">
        <v>327813</v>
      </c>
      <c r="G39" s="27">
        <v>7.1993221748996958E-2</v>
      </c>
    </row>
    <row r="40" spans="1:7" x14ac:dyDescent="0.3">
      <c r="A40" t="s">
        <v>2213</v>
      </c>
      <c r="B40" s="2">
        <v>29</v>
      </c>
      <c r="C40" s="301">
        <v>6.4703257474341812E-3</v>
      </c>
      <c r="D40" s="2">
        <v>160</v>
      </c>
      <c r="E40" s="301">
        <v>1.7646410058453733E-2</v>
      </c>
      <c r="F40" s="2">
        <v>33384</v>
      </c>
      <c r="G40" s="27">
        <v>7.331685182919879E-3</v>
      </c>
    </row>
    <row r="41" spans="1:7" x14ac:dyDescent="0.3">
      <c r="A41" t="s">
        <v>2231</v>
      </c>
      <c r="B41" s="2">
        <v>372</v>
      </c>
      <c r="C41" s="301">
        <v>8.2998661311914329E-2</v>
      </c>
      <c r="D41" s="2">
        <v>984</v>
      </c>
      <c r="E41" s="301">
        <v>0.10852542185949046</v>
      </c>
      <c r="F41" s="2">
        <v>767494</v>
      </c>
      <c r="G41" s="27">
        <v>0.16855452874969776</v>
      </c>
    </row>
    <row r="42" spans="1:7" x14ac:dyDescent="0.3">
      <c r="A42" t="s">
        <v>2227</v>
      </c>
      <c r="B42" s="2">
        <v>319</v>
      </c>
      <c r="C42" s="301">
        <v>7.1173583221775999E-2</v>
      </c>
      <c r="D42" s="2">
        <v>692</v>
      </c>
      <c r="E42" s="301">
        <v>7.6320723502812396E-2</v>
      </c>
      <c r="F42" s="2">
        <v>313950</v>
      </c>
      <c r="G42" s="27">
        <v>6.8948674909468488E-2</v>
      </c>
    </row>
    <row r="43" spans="1:7" x14ac:dyDescent="0.3">
      <c r="A43" t="s">
        <v>2207</v>
      </c>
      <c r="B43" s="2">
        <v>39</v>
      </c>
      <c r="C43" s="301">
        <v>8.7014725568942443E-3</v>
      </c>
      <c r="D43" s="2">
        <v>126</v>
      </c>
      <c r="E43" s="301">
        <v>1.3896547921032315E-2</v>
      </c>
      <c r="F43" s="2">
        <v>203483</v>
      </c>
      <c r="G43" s="27">
        <v>4.468827270776677E-2</v>
      </c>
    </row>
    <row r="44" spans="1:7" x14ac:dyDescent="0.3">
      <c r="A44" t="s">
        <v>2208</v>
      </c>
      <c r="B44" s="2">
        <v>8</v>
      </c>
      <c r="C44" s="301">
        <v>1.7849174475680499E-3</v>
      </c>
      <c r="D44" s="2">
        <v>68</v>
      </c>
      <c r="E44" s="301">
        <v>7.499724274842837E-3</v>
      </c>
      <c r="F44" s="2">
        <v>124471</v>
      </c>
      <c r="G44" s="27">
        <v>2.733591500129464E-2</v>
      </c>
    </row>
    <row r="45" spans="1:7" x14ac:dyDescent="0.3">
      <c r="A45" t="s">
        <v>2209</v>
      </c>
      <c r="B45" s="2">
        <v>6</v>
      </c>
      <c r="C45" s="301">
        <v>1.3386880856760374E-3</v>
      </c>
      <c r="D45" s="2">
        <v>12</v>
      </c>
      <c r="E45" s="301">
        <v>1.32348075438403E-3</v>
      </c>
      <c r="F45" s="2">
        <v>58883</v>
      </c>
      <c r="G45" s="27">
        <v>1.2931692386348887E-2</v>
      </c>
    </row>
    <row r="46" spans="1:7" x14ac:dyDescent="0.3">
      <c r="A46" t="s">
        <v>2228</v>
      </c>
      <c r="B46" s="2">
        <v>0</v>
      </c>
      <c r="C46" s="301">
        <v>0</v>
      </c>
      <c r="D46" s="2">
        <v>7</v>
      </c>
      <c r="E46" s="301">
        <v>7.7203044005735085E-4</v>
      </c>
      <c r="F46" s="2">
        <v>51483</v>
      </c>
      <c r="G46" s="27">
        <v>1.1306528524810212E-2</v>
      </c>
    </row>
    <row r="47" spans="1:7" x14ac:dyDescent="0.3">
      <c r="A47" t="s">
        <v>2213</v>
      </c>
      <c r="B47" s="2">
        <v>0</v>
      </c>
      <c r="C47" s="301">
        <v>0</v>
      </c>
      <c r="D47" s="2">
        <v>79</v>
      </c>
      <c r="E47" s="301">
        <v>8.7129149663615311E-3</v>
      </c>
      <c r="F47" s="2">
        <v>15224</v>
      </c>
      <c r="G47" s="27">
        <v>3.3434452200087538E-3</v>
      </c>
    </row>
    <row r="48" spans="1:7" x14ac:dyDescent="0.3">
      <c r="A48" t="s">
        <v>2232</v>
      </c>
      <c r="B48" s="2">
        <v>163</v>
      </c>
      <c r="C48" s="301">
        <v>3.6367692994199015E-2</v>
      </c>
      <c r="D48" s="2">
        <v>621</v>
      </c>
      <c r="E48" s="301">
        <v>6.8490129039373557E-2</v>
      </c>
      <c r="F48" s="2">
        <v>735302</v>
      </c>
      <c r="G48" s="27">
        <v>0.16148462671852842</v>
      </c>
    </row>
    <row r="49" spans="1:7" x14ac:dyDescent="0.3">
      <c r="A49" t="s">
        <v>2227</v>
      </c>
      <c r="B49" s="2">
        <v>163</v>
      </c>
      <c r="C49" s="301">
        <v>3.6367692994199015E-2</v>
      </c>
      <c r="D49" s="2">
        <v>571</v>
      </c>
      <c r="E49" s="301">
        <v>6.2975625896106766E-2</v>
      </c>
      <c r="F49" s="2">
        <v>523770</v>
      </c>
      <c r="G49" s="27">
        <v>0.11502865888623129</v>
      </c>
    </row>
    <row r="50" spans="1:7" x14ac:dyDescent="0.3">
      <c r="A50" t="s">
        <v>2207</v>
      </c>
      <c r="B50" s="2">
        <v>0</v>
      </c>
      <c r="C50" s="301">
        <v>0</v>
      </c>
      <c r="D50" s="2">
        <v>0</v>
      </c>
      <c r="E50" s="301">
        <v>0</v>
      </c>
      <c r="F50" s="2">
        <v>129864</v>
      </c>
      <c r="G50" s="27">
        <v>2.8520308069575461E-2</v>
      </c>
    </row>
    <row r="51" spans="1:7" x14ac:dyDescent="0.3">
      <c r="A51" t="s">
        <v>2208</v>
      </c>
      <c r="B51" s="2">
        <v>0</v>
      </c>
      <c r="C51" s="301">
        <v>0</v>
      </c>
      <c r="D51" s="2">
        <v>13</v>
      </c>
      <c r="E51" s="301">
        <v>1.4337708172493658E-3</v>
      </c>
      <c r="F51" s="2">
        <v>45371</v>
      </c>
      <c r="G51" s="27">
        <v>9.9642310218744853E-3</v>
      </c>
    </row>
    <row r="52" spans="1:7" x14ac:dyDescent="0.3">
      <c r="A52" t="s">
        <v>2209</v>
      </c>
      <c r="B52" s="2">
        <v>0</v>
      </c>
      <c r="C52" s="301">
        <v>0</v>
      </c>
      <c r="D52" s="2">
        <v>0</v>
      </c>
      <c r="E52" s="301">
        <v>0</v>
      </c>
      <c r="F52" s="2">
        <v>22360</v>
      </c>
      <c r="G52" s="27">
        <v>4.9106302627033461E-3</v>
      </c>
    </row>
    <row r="53" spans="1:7" x14ac:dyDescent="0.3">
      <c r="A53" t="s">
        <v>2228</v>
      </c>
      <c r="B53" s="2">
        <v>0</v>
      </c>
      <c r="C53" s="301">
        <v>0</v>
      </c>
      <c r="D53" s="2">
        <v>0</v>
      </c>
      <c r="E53" s="301">
        <v>0</v>
      </c>
      <c r="F53" s="2">
        <v>1540</v>
      </c>
      <c r="G53" s="27">
        <v>3.382097765904809E-4</v>
      </c>
    </row>
    <row r="54" spans="1:7" x14ac:dyDescent="0.3">
      <c r="A54" t="s">
        <v>2213</v>
      </c>
      <c r="B54" s="2">
        <v>0</v>
      </c>
      <c r="C54" s="301">
        <v>0</v>
      </c>
      <c r="D54" s="2">
        <v>37</v>
      </c>
      <c r="E54" s="301">
        <v>4.0807323260174258E-3</v>
      </c>
      <c r="F54" s="2">
        <v>12397</v>
      </c>
      <c r="G54" s="27">
        <v>2.7225887015533711E-3</v>
      </c>
    </row>
    <row r="55" spans="1:7" x14ac:dyDescent="0.3">
      <c r="A55" s="18"/>
      <c r="B55" s="18"/>
      <c r="C55" s="18"/>
      <c r="D55" s="18"/>
      <c r="E55" s="18"/>
      <c r="F55" s="18"/>
      <c r="G55" s="18"/>
    </row>
    <row r="56" spans="1:7" x14ac:dyDescent="0.3">
      <c r="A56" s="303" t="s">
        <v>2233</v>
      </c>
      <c r="B56" s="303"/>
      <c r="C56" s="303"/>
      <c r="D56" s="303"/>
      <c r="E56" s="303"/>
      <c r="F56" s="122"/>
      <c r="G56" s="122"/>
    </row>
    <row r="57" spans="1:7" x14ac:dyDescent="0.3">
      <c r="A57" t="s">
        <v>2234</v>
      </c>
      <c r="B57" s="2">
        <v>4213</v>
      </c>
      <c r="C57" t="s">
        <v>172</v>
      </c>
      <c r="D57" s="2">
        <v>13946</v>
      </c>
      <c r="E57" t="s">
        <v>172</v>
      </c>
      <c r="F57" s="2">
        <v>4773895</v>
      </c>
      <c r="G57" s="27"/>
    </row>
    <row r="58" spans="1:7" x14ac:dyDescent="0.3">
      <c r="A58" t="s">
        <v>2226</v>
      </c>
      <c r="B58" s="2">
        <v>614</v>
      </c>
      <c r="C58" s="301">
        <v>0.14573937811535723</v>
      </c>
      <c r="D58" s="2">
        <v>1406</v>
      </c>
      <c r="E58" s="301">
        <v>0.1008174386920981</v>
      </c>
      <c r="F58" s="2">
        <v>270097</v>
      </c>
      <c r="G58" s="27">
        <v>5.6577909652390762E-2</v>
      </c>
    </row>
    <row r="59" spans="1:7" x14ac:dyDescent="0.3">
      <c r="A59" t="s">
        <v>2227</v>
      </c>
      <c r="B59" s="2">
        <v>163</v>
      </c>
      <c r="C59" s="301">
        <v>3.8689769760265842E-2</v>
      </c>
      <c r="D59" s="2">
        <v>295</v>
      </c>
      <c r="E59" s="301">
        <v>2.1153018786748887E-2</v>
      </c>
      <c r="F59" s="2">
        <v>38743</v>
      </c>
      <c r="G59" s="27">
        <v>8.1155953367219019E-3</v>
      </c>
    </row>
    <row r="60" spans="1:7" x14ac:dyDescent="0.3">
      <c r="A60" t="s">
        <v>2207</v>
      </c>
      <c r="B60" s="2">
        <v>68</v>
      </c>
      <c r="C60" s="301">
        <v>1.6140517446000476E-2</v>
      </c>
      <c r="D60" s="2">
        <v>152</v>
      </c>
      <c r="E60" s="301">
        <v>1.0899182561307902E-2</v>
      </c>
      <c r="F60" s="2">
        <v>23028</v>
      </c>
      <c r="G60" s="27">
        <v>4.8237340787763454E-3</v>
      </c>
    </row>
    <row r="61" spans="1:7" x14ac:dyDescent="0.3">
      <c r="A61" t="s">
        <v>2208</v>
      </c>
      <c r="B61" s="2">
        <v>52</v>
      </c>
      <c r="C61" s="301">
        <v>1.2342748635176834E-2</v>
      </c>
      <c r="D61" s="2">
        <v>110</v>
      </c>
      <c r="E61" s="301">
        <v>7.8875663272622975E-3</v>
      </c>
      <c r="F61" s="2">
        <v>18966</v>
      </c>
      <c r="G61" s="27">
        <v>3.9728565458603511E-3</v>
      </c>
    </row>
    <row r="62" spans="1:7" x14ac:dyDescent="0.3">
      <c r="A62" t="s">
        <v>2209</v>
      </c>
      <c r="B62" s="2">
        <v>33</v>
      </c>
      <c r="C62" s="301">
        <v>7.832898172323759E-3</v>
      </c>
      <c r="D62" s="2">
        <v>104</v>
      </c>
      <c r="E62" s="301">
        <v>7.4573354366843543E-3</v>
      </c>
      <c r="F62" s="2">
        <v>15558</v>
      </c>
      <c r="G62" s="27">
        <v>3.2589740662498862E-3</v>
      </c>
    </row>
    <row r="63" spans="1:7" x14ac:dyDescent="0.3">
      <c r="A63" t="s">
        <v>2228</v>
      </c>
      <c r="B63" s="2">
        <v>236</v>
      </c>
      <c r="C63" s="301">
        <v>5.6017089959648707E-2</v>
      </c>
      <c r="D63" s="2">
        <v>621</v>
      </c>
      <c r="E63" s="301">
        <v>4.4528897174817152E-2</v>
      </c>
      <c r="F63" s="2">
        <v>140098</v>
      </c>
      <c r="G63" s="27">
        <v>2.9346686510700382E-2</v>
      </c>
    </row>
    <row r="64" spans="1:7" x14ac:dyDescent="0.3">
      <c r="A64" t="s">
        <v>2213</v>
      </c>
      <c r="B64" s="2">
        <v>62</v>
      </c>
      <c r="C64" s="301">
        <v>1.4716354141941609E-2</v>
      </c>
      <c r="D64" s="2">
        <v>124</v>
      </c>
      <c r="E64" s="301">
        <v>8.8914384052774988E-3</v>
      </c>
      <c r="F64" s="2">
        <v>33704</v>
      </c>
      <c r="G64" s="27">
        <v>7.0600631140818977E-3</v>
      </c>
    </row>
    <row r="65" spans="1:7" x14ac:dyDescent="0.3">
      <c r="A65" t="s">
        <v>2229</v>
      </c>
      <c r="B65" s="2">
        <v>762</v>
      </c>
      <c r="C65" s="301">
        <v>0.18086873961547592</v>
      </c>
      <c r="D65" s="2">
        <v>2330</v>
      </c>
      <c r="E65" s="301">
        <v>0.16707299584110138</v>
      </c>
      <c r="F65" s="2">
        <v>424383</v>
      </c>
      <c r="G65" s="27">
        <v>8.8896592824098564E-2</v>
      </c>
    </row>
    <row r="66" spans="1:7" x14ac:dyDescent="0.3">
      <c r="A66" t="s">
        <v>2227</v>
      </c>
      <c r="B66" s="2">
        <v>361</v>
      </c>
      <c r="C66" s="301">
        <v>8.5687158794208407E-2</v>
      </c>
      <c r="D66" s="2">
        <v>991</v>
      </c>
      <c r="E66" s="301">
        <v>7.1059802093790328E-2</v>
      </c>
      <c r="F66" s="2">
        <v>186111</v>
      </c>
      <c r="G66" s="27">
        <v>3.8985147348234515E-2</v>
      </c>
    </row>
    <row r="67" spans="1:7" x14ac:dyDescent="0.3">
      <c r="A67" t="s">
        <v>2207</v>
      </c>
      <c r="B67" s="2">
        <v>72</v>
      </c>
      <c r="C67" s="301">
        <v>1.7089959648706386E-2</v>
      </c>
      <c r="D67" s="2">
        <v>242</v>
      </c>
      <c r="E67" s="301">
        <v>1.7352645919977053E-2</v>
      </c>
      <c r="F67" s="2">
        <v>39494</v>
      </c>
      <c r="G67" s="27">
        <v>8.2729092282088322E-3</v>
      </c>
    </row>
    <row r="68" spans="1:7" x14ac:dyDescent="0.3">
      <c r="A68" t="s">
        <v>2208</v>
      </c>
      <c r="B68" s="2">
        <v>52</v>
      </c>
      <c r="C68" s="301">
        <v>1.2342748635176834E-2</v>
      </c>
      <c r="D68" s="2">
        <v>244</v>
      </c>
      <c r="E68" s="301">
        <v>1.7496056216836368E-2</v>
      </c>
      <c r="F68" s="2">
        <v>29375</v>
      </c>
      <c r="G68" s="27">
        <v>6.1532564080274072E-3</v>
      </c>
    </row>
    <row r="69" spans="1:7" x14ac:dyDescent="0.3">
      <c r="A69" t="s">
        <v>2209</v>
      </c>
      <c r="B69" s="2">
        <v>38</v>
      </c>
      <c r="C69" s="301">
        <v>9.0197009257061474E-3</v>
      </c>
      <c r="D69" s="2">
        <v>116</v>
      </c>
      <c r="E69" s="301">
        <v>8.3177972178402407E-3</v>
      </c>
      <c r="F69" s="2">
        <v>21757</v>
      </c>
      <c r="G69" s="27">
        <v>4.5574944568324187E-3</v>
      </c>
    </row>
    <row r="70" spans="1:7" x14ac:dyDescent="0.3">
      <c r="A70" t="s">
        <v>2228</v>
      </c>
      <c r="B70" s="2">
        <v>231</v>
      </c>
      <c r="C70" s="301">
        <v>5.4830287206266322E-2</v>
      </c>
      <c r="D70" s="2">
        <v>729</v>
      </c>
      <c r="E70" s="301">
        <v>5.2273053205220132E-2</v>
      </c>
      <c r="F70" s="2">
        <v>147445</v>
      </c>
      <c r="G70" s="27">
        <v>3.0885681398522592E-2</v>
      </c>
    </row>
    <row r="71" spans="1:7" x14ac:dyDescent="0.3">
      <c r="A71" t="s">
        <v>2213</v>
      </c>
      <c r="B71" s="2">
        <v>8</v>
      </c>
      <c r="C71" s="301">
        <v>1.8988844054118206E-3</v>
      </c>
      <c r="D71" s="2">
        <v>8</v>
      </c>
      <c r="E71" s="301">
        <v>5.7364118743725805E-4</v>
      </c>
      <c r="F71" s="2">
        <v>201</v>
      </c>
      <c r="G71" s="27">
        <v>4.2103984272800301E-5</v>
      </c>
    </row>
    <row r="72" spans="1:7" x14ac:dyDescent="0.3">
      <c r="A72" t="s">
        <v>2230</v>
      </c>
      <c r="B72" s="2">
        <v>1016</v>
      </c>
      <c r="C72" s="301">
        <v>0.24115831948730121</v>
      </c>
      <c r="D72" s="2">
        <v>3412</v>
      </c>
      <c r="E72" s="301">
        <v>0.24465796644199053</v>
      </c>
      <c r="F72" s="2">
        <v>823120</v>
      </c>
      <c r="G72" s="27">
        <v>0.17242105241108152</v>
      </c>
    </row>
    <row r="73" spans="1:7" x14ac:dyDescent="0.3">
      <c r="A73" t="s">
        <v>2227</v>
      </c>
      <c r="B73" s="2">
        <v>547</v>
      </c>
      <c r="C73" s="301">
        <v>0.12983622122003324</v>
      </c>
      <c r="D73" s="2">
        <v>1568</v>
      </c>
      <c r="E73" s="301">
        <v>0.11243367273770256</v>
      </c>
      <c r="F73" s="2">
        <v>373299</v>
      </c>
      <c r="G73" s="27">
        <v>7.819589664205015E-2</v>
      </c>
    </row>
    <row r="74" spans="1:7" x14ac:dyDescent="0.3">
      <c r="A74" t="s">
        <v>2207</v>
      </c>
      <c r="B74" s="2">
        <v>124</v>
      </c>
      <c r="C74" s="301">
        <v>2.9432708283883217E-2</v>
      </c>
      <c r="D74" s="2">
        <v>361</v>
      </c>
      <c r="E74" s="301">
        <v>2.5885558583106268E-2</v>
      </c>
      <c r="F74" s="2">
        <v>62424</v>
      </c>
      <c r="G74" s="27">
        <v>1.3076114996245204E-2</v>
      </c>
    </row>
    <row r="75" spans="1:7" x14ac:dyDescent="0.3">
      <c r="A75" t="s">
        <v>2208</v>
      </c>
      <c r="B75" s="2">
        <v>114</v>
      </c>
      <c r="C75" s="301">
        <v>2.7059102777118444E-2</v>
      </c>
      <c r="D75" s="2">
        <v>420</v>
      </c>
      <c r="E75" s="301">
        <v>3.0116162340456044E-2</v>
      </c>
      <c r="F75" s="2">
        <v>62766</v>
      </c>
      <c r="G75" s="27">
        <v>1.3147754611276536E-2</v>
      </c>
    </row>
    <row r="76" spans="1:7" x14ac:dyDescent="0.3">
      <c r="A76" t="s">
        <v>2209</v>
      </c>
      <c r="B76" s="2">
        <v>133</v>
      </c>
      <c r="C76" s="301">
        <v>3.1568953239971519E-2</v>
      </c>
      <c r="D76" s="2">
        <v>437</v>
      </c>
      <c r="E76" s="301">
        <v>3.1335149863760216E-2</v>
      </c>
      <c r="F76" s="2">
        <v>63240</v>
      </c>
      <c r="G76" s="27">
        <v>1.3247044604039259E-2</v>
      </c>
    </row>
    <row r="77" spans="1:7" x14ac:dyDescent="0.3">
      <c r="A77" t="s">
        <v>2228</v>
      </c>
      <c r="B77" s="2">
        <v>98</v>
      </c>
      <c r="C77" s="301">
        <v>2.3261333966294803E-2</v>
      </c>
      <c r="D77" s="2">
        <v>626</v>
      </c>
      <c r="E77" s="301">
        <v>4.4887422916965437E-2</v>
      </c>
      <c r="F77" s="2">
        <v>261153</v>
      </c>
      <c r="G77" s="27">
        <v>5.4704387088530433E-2</v>
      </c>
    </row>
    <row r="78" spans="1:7" x14ac:dyDescent="0.3">
      <c r="A78" t="s">
        <v>2213</v>
      </c>
      <c r="B78" s="2">
        <v>0</v>
      </c>
      <c r="C78" s="301">
        <v>0</v>
      </c>
      <c r="D78" s="2">
        <v>0</v>
      </c>
      <c r="E78" s="301">
        <v>0</v>
      </c>
      <c r="F78" s="2">
        <v>238</v>
      </c>
      <c r="G78" s="27">
        <v>4.9854468939932696E-5</v>
      </c>
    </row>
    <row r="79" spans="1:7" x14ac:dyDescent="0.3">
      <c r="A79" t="s">
        <v>2231</v>
      </c>
      <c r="B79" s="2">
        <v>811</v>
      </c>
      <c r="C79" s="301">
        <v>0.1924994065986233</v>
      </c>
      <c r="D79" s="2">
        <v>3194</v>
      </c>
      <c r="E79" s="301">
        <v>0.22902624408432526</v>
      </c>
      <c r="F79" s="2">
        <v>924133</v>
      </c>
      <c r="G79" s="27">
        <v>0.19358050397002866</v>
      </c>
    </row>
    <row r="80" spans="1:7" x14ac:dyDescent="0.3">
      <c r="A80" t="s">
        <v>2227</v>
      </c>
      <c r="B80" s="2">
        <v>510</v>
      </c>
      <c r="C80" s="301">
        <v>0.12105388084500356</v>
      </c>
      <c r="D80" s="2">
        <v>1480</v>
      </c>
      <c r="E80" s="301">
        <v>0.10612361967589273</v>
      </c>
      <c r="F80" s="2">
        <v>375618</v>
      </c>
      <c r="G80" s="27">
        <v>7.8681663505376642E-2</v>
      </c>
    </row>
    <row r="81" spans="1:7" x14ac:dyDescent="0.3">
      <c r="A81" t="s">
        <v>2207</v>
      </c>
      <c r="B81" s="2">
        <v>140</v>
      </c>
      <c r="C81" s="301">
        <v>3.3230477094706862E-2</v>
      </c>
      <c r="D81" s="2">
        <v>662</v>
      </c>
      <c r="E81" s="301">
        <v>4.74688082604331E-2</v>
      </c>
      <c r="F81" s="2">
        <v>110688</v>
      </c>
      <c r="G81" s="27">
        <v>2.3186098563122984E-2</v>
      </c>
    </row>
    <row r="82" spans="1:7" x14ac:dyDescent="0.3">
      <c r="A82" t="s">
        <v>2208</v>
      </c>
      <c r="B82" s="2">
        <v>126</v>
      </c>
      <c r="C82" s="301">
        <v>2.9907429385236172E-2</v>
      </c>
      <c r="D82" s="2">
        <v>571</v>
      </c>
      <c r="E82" s="301">
        <v>4.0943639753334288E-2</v>
      </c>
      <c r="F82" s="2">
        <v>119682</v>
      </c>
      <c r="G82" s="27">
        <v>2.507009475491187E-2</v>
      </c>
    </row>
    <row r="83" spans="1:7" x14ac:dyDescent="0.3">
      <c r="A83" t="s">
        <v>2209</v>
      </c>
      <c r="B83" s="2">
        <v>25</v>
      </c>
      <c r="C83" s="301">
        <v>5.9340137669119395E-3</v>
      </c>
      <c r="D83" s="2">
        <v>262</v>
      </c>
      <c r="E83" s="301">
        <v>1.8786748888570199E-2</v>
      </c>
      <c r="F83" s="2">
        <v>105735</v>
      </c>
      <c r="G83" s="27">
        <v>2.21485809805201E-2</v>
      </c>
    </row>
    <row r="84" spans="1:7" x14ac:dyDescent="0.3">
      <c r="A84" t="s">
        <v>2228</v>
      </c>
      <c r="B84" s="2">
        <v>10</v>
      </c>
      <c r="C84" s="301">
        <v>2.3736055067647755E-3</v>
      </c>
      <c r="D84" s="2">
        <v>219</v>
      </c>
      <c r="E84" s="301">
        <v>1.5703427506094939E-2</v>
      </c>
      <c r="F84" s="2">
        <v>212139</v>
      </c>
      <c r="G84" s="27">
        <v>4.4437299102724294E-2</v>
      </c>
    </row>
    <row r="85" spans="1:7" x14ac:dyDescent="0.3">
      <c r="A85" t="s">
        <v>2213</v>
      </c>
      <c r="B85" s="2">
        <v>0</v>
      </c>
      <c r="C85" s="301">
        <v>0</v>
      </c>
      <c r="D85" s="2">
        <v>0</v>
      </c>
      <c r="E85" s="301">
        <v>0</v>
      </c>
      <c r="F85" s="2">
        <v>271</v>
      </c>
      <c r="G85" s="27">
        <v>5.6767063372780507E-5</v>
      </c>
    </row>
    <row r="86" spans="1:7" x14ac:dyDescent="0.3">
      <c r="A86" t="s">
        <v>2232</v>
      </c>
      <c r="B86" s="2">
        <v>1010</v>
      </c>
      <c r="C86" s="301">
        <v>0.23973415618324234</v>
      </c>
      <c r="D86" s="2">
        <v>3604</v>
      </c>
      <c r="E86" s="301">
        <v>0.25842535494048474</v>
      </c>
      <c r="F86" s="2">
        <v>2332162</v>
      </c>
      <c r="G86" s="27">
        <v>0.4885239411424005</v>
      </c>
    </row>
    <row r="87" spans="1:7" x14ac:dyDescent="0.3">
      <c r="A87" t="s">
        <v>2227</v>
      </c>
      <c r="B87" s="2">
        <v>896</v>
      </c>
      <c r="C87" s="301">
        <v>0.21267505340612392</v>
      </c>
      <c r="D87" s="2">
        <v>2750</v>
      </c>
      <c r="E87" s="301">
        <v>0.19718915818155744</v>
      </c>
      <c r="F87" s="2">
        <v>1225423</v>
      </c>
      <c r="G87" s="27">
        <v>0.25669249114192916</v>
      </c>
    </row>
    <row r="88" spans="1:7" x14ac:dyDescent="0.3">
      <c r="A88" t="s">
        <v>2207</v>
      </c>
      <c r="B88" s="2">
        <v>84</v>
      </c>
      <c r="C88" s="301">
        <v>1.9938286256824117E-2</v>
      </c>
      <c r="D88" s="2">
        <v>577</v>
      </c>
      <c r="E88" s="301">
        <v>4.1373870643912236E-2</v>
      </c>
      <c r="F88" s="2">
        <v>370964</v>
      </c>
      <c r="G88" s="27">
        <v>7.7706778217786529E-2</v>
      </c>
    </row>
    <row r="89" spans="1:7" x14ac:dyDescent="0.3">
      <c r="A89" t="s">
        <v>2208</v>
      </c>
      <c r="B89" s="2">
        <v>27</v>
      </c>
      <c r="C89" s="301">
        <v>6.4087348682648941E-3</v>
      </c>
      <c r="D89" s="2">
        <v>146</v>
      </c>
      <c r="E89" s="301">
        <v>1.0468951670729958E-2</v>
      </c>
      <c r="F89" s="2">
        <v>294120</v>
      </c>
      <c r="G89" s="27">
        <v>6.1610068926945399E-2</v>
      </c>
    </row>
    <row r="90" spans="1:7" x14ac:dyDescent="0.3">
      <c r="A90" t="s">
        <v>2209</v>
      </c>
      <c r="B90" s="2">
        <v>3</v>
      </c>
      <c r="C90" s="301">
        <v>7.1208165202943266E-4</v>
      </c>
      <c r="D90" s="2">
        <v>62</v>
      </c>
      <c r="E90" s="301">
        <v>4.4457192026387494E-3</v>
      </c>
      <c r="F90" s="2">
        <v>191462</v>
      </c>
      <c r="G90" s="27">
        <v>4.0106035009148715E-2</v>
      </c>
    </row>
    <row r="91" spans="1:7" x14ac:dyDescent="0.3">
      <c r="A91" t="s">
        <v>2228</v>
      </c>
      <c r="B91" s="2">
        <v>0</v>
      </c>
      <c r="C91" s="301">
        <v>0</v>
      </c>
      <c r="D91" s="2">
        <v>69</v>
      </c>
      <c r="E91" s="301">
        <v>4.9476552416463501E-3</v>
      </c>
      <c r="F91" s="2">
        <v>248683</v>
      </c>
      <c r="G91" s="27">
        <v>5.2092264283148247E-2</v>
      </c>
    </row>
    <row r="92" spans="1:7" x14ac:dyDescent="0.3">
      <c r="A92" t="s">
        <v>2213</v>
      </c>
      <c r="B92" s="2">
        <v>0</v>
      </c>
      <c r="C92" s="301">
        <v>0</v>
      </c>
      <c r="D92" s="2">
        <v>0</v>
      </c>
      <c r="E92" s="301">
        <v>0</v>
      </c>
      <c r="F92" s="2">
        <v>1510</v>
      </c>
      <c r="G92" s="27">
        <v>3.1630356344243012E-4</v>
      </c>
    </row>
    <row r="93" spans="1:7" x14ac:dyDescent="0.3">
      <c r="A93" s="18"/>
      <c r="B93" s="18"/>
      <c r="C93" s="18"/>
      <c r="D93" s="18"/>
      <c r="E93" s="18"/>
      <c r="F93" s="18"/>
      <c r="G93" s="18"/>
    </row>
    <row r="94" spans="1:7" x14ac:dyDescent="0.3">
      <c r="A94" s="303" t="s">
        <v>2235</v>
      </c>
      <c r="B94" s="303"/>
      <c r="C94" s="303"/>
      <c r="D94" s="303"/>
      <c r="E94" s="303"/>
      <c r="F94" s="122"/>
      <c r="G94" s="122"/>
    </row>
    <row r="95" spans="1:7" x14ac:dyDescent="0.3">
      <c r="A95" t="s">
        <v>2236</v>
      </c>
      <c r="B95" s="15">
        <v>68900</v>
      </c>
      <c r="C95" t="s">
        <v>172</v>
      </c>
      <c r="D95" s="15">
        <v>85700</v>
      </c>
      <c r="E95" t="s">
        <v>172</v>
      </c>
      <c r="F95" s="15">
        <v>374266</v>
      </c>
      <c r="G95" s="27"/>
    </row>
    <row r="96" spans="1:7" x14ac:dyDescent="0.3">
      <c r="A96" s="18"/>
      <c r="B96" s="18"/>
      <c r="C96" s="18"/>
      <c r="D96" s="18"/>
      <c r="E96" s="18"/>
      <c r="F96" s="18"/>
      <c r="G96" s="18"/>
    </row>
    <row r="97" spans="1:7" x14ac:dyDescent="0.3">
      <c r="A97" s="303" t="s">
        <v>2237</v>
      </c>
      <c r="B97" s="303"/>
      <c r="C97" s="303"/>
      <c r="D97" s="303"/>
      <c r="E97" s="303"/>
      <c r="F97" s="122"/>
      <c r="G97" s="122"/>
    </row>
    <row r="98" spans="1:7" x14ac:dyDescent="0.3">
      <c r="A98" t="s">
        <v>2238</v>
      </c>
      <c r="B98" s="15">
        <v>412</v>
      </c>
      <c r="C98" t="s">
        <v>172</v>
      </c>
      <c r="D98" s="15">
        <v>423</v>
      </c>
      <c r="E98" t="s">
        <v>172</v>
      </c>
      <c r="F98" s="15">
        <v>1194</v>
      </c>
      <c r="G98" s="27"/>
    </row>
    <row r="99" spans="1:7" x14ac:dyDescent="0.3">
      <c r="A99" s="18"/>
      <c r="B99" s="18"/>
      <c r="C99" s="18"/>
      <c r="D99" s="18"/>
      <c r="E99" s="18"/>
      <c r="F99" s="18"/>
      <c r="G99" s="18"/>
    </row>
    <row r="100" spans="1:7" x14ac:dyDescent="0.3">
      <c r="A100" s="303" t="s">
        <v>2239</v>
      </c>
      <c r="B100" s="303"/>
      <c r="C100" s="303"/>
      <c r="D100" s="303"/>
      <c r="E100" s="303"/>
      <c r="F100" s="122"/>
      <c r="G100" s="122"/>
    </row>
    <row r="101" spans="1:7" x14ac:dyDescent="0.3">
      <c r="A101" t="s">
        <v>2240</v>
      </c>
      <c r="B101" s="15">
        <v>635</v>
      </c>
      <c r="C101" t="s">
        <v>172</v>
      </c>
      <c r="D101" s="15">
        <v>746</v>
      </c>
      <c r="E101" t="s">
        <v>172</v>
      </c>
      <c r="F101" s="15">
        <v>2075</v>
      </c>
      <c r="G101" s="27"/>
    </row>
    <row r="102" spans="1:7" x14ac:dyDescent="0.3">
      <c r="A102" t="s">
        <v>2241</v>
      </c>
      <c r="B102" s="15">
        <v>157</v>
      </c>
      <c r="C102" t="s">
        <v>172</v>
      </c>
      <c r="D102" s="15">
        <v>183</v>
      </c>
      <c r="E102" t="s">
        <v>172</v>
      </c>
      <c r="F102" s="15">
        <v>368</v>
      </c>
      <c r="G102" s="27"/>
    </row>
    <row r="103" spans="1:7" x14ac:dyDescent="0.3">
      <c r="A103" s="18"/>
      <c r="B103" s="18"/>
      <c r="C103" s="18"/>
      <c r="D103" s="18"/>
      <c r="E103" s="18"/>
      <c r="F103" s="18"/>
      <c r="G103" s="18"/>
    </row>
    <row r="108" spans="1:7" x14ac:dyDescent="0.3">
      <c r="A108" s="31" t="s">
        <v>2242</v>
      </c>
    </row>
    <row r="109" spans="1:7" ht="24" x14ac:dyDescent="0.3">
      <c r="A109" s="32" t="s">
        <v>2243</v>
      </c>
    </row>
    <row r="110" spans="1:7" x14ac:dyDescent="0.3">
      <c r="A110" s="33" t="s">
        <v>2244</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2245</v>
      </c>
      <c r="C1" s="370"/>
      <c r="D1" s="370"/>
      <c r="E1" s="370"/>
      <c r="F1" s="370"/>
      <c r="G1" s="370"/>
    </row>
    <row r="2" spans="1:7" x14ac:dyDescent="0.3">
      <c r="A2" t="s">
        <v>172</v>
      </c>
      <c r="B2" s="371" t="str">
        <f>Population!B3</f>
        <v>City of Madera</v>
      </c>
      <c r="C2" s="371"/>
      <c r="D2" s="371" t="str">
        <f>Population!B4</f>
        <v>Madera County</v>
      </c>
      <c r="E2" s="371"/>
      <c r="F2" s="371" t="s">
        <v>173</v>
      </c>
      <c r="G2" s="371"/>
    </row>
    <row r="3" spans="1:7" x14ac:dyDescent="0.3">
      <c r="A3" s="18"/>
      <c r="B3" s="18"/>
      <c r="C3" s="18"/>
      <c r="D3" s="18"/>
      <c r="E3" s="18"/>
      <c r="F3" s="18"/>
      <c r="G3" s="18"/>
    </row>
    <row r="4" spans="1:7" x14ac:dyDescent="0.3">
      <c r="A4" s="211" t="s">
        <v>2246</v>
      </c>
      <c r="B4" s="211"/>
      <c r="C4" s="211"/>
      <c r="D4" s="303"/>
      <c r="E4" s="303"/>
      <c r="F4" s="211"/>
      <c r="G4" s="211"/>
    </row>
    <row r="5" spans="1:7" x14ac:dyDescent="0.3">
      <c r="A5" t="s">
        <v>170</v>
      </c>
      <c r="B5" s="2">
        <f>VLOOKUP($B$2,'Ref. DC-1980(IPUMS)'!$E$1:$BV$784,4,FALSE)</f>
        <v>21732</v>
      </c>
      <c r="C5" s="27"/>
      <c r="D5" s="2">
        <v>63116</v>
      </c>
      <c r="E5" t="s">
        <v>172</v>
      </c>
      <c r="F5" s="2">
        <v>23667902</v>
      </c>
      <c r="G5" s="27"/>
    </row>
    <row r="6" spans="1:7" x14ac:dyDescent="0.3">
      <c r="A6" t="s">
        <v>2247</v>
      </c>
      <c r="B6" s="2">
        <f>VLOOKUP($B$2,'Ref. DC-1980(IPUMS)'!$E$1:$BV$784,5,FALSE)</f>
        <v>0</v>
      </c>
      <c r="C6" s="27" t="s">
        <v>172</v>
      </c>
      <c r="D6" s="2">
        <v>0</v>
      </c>
      <c r="E6" t="s">
        <v>172</v>
      </c>
      <c r="F6" s="2">
        <v>19771903</v>
      </c>
      <c r="G6" s="27"/>
    </row>
    <row r="7" spans="1:7" x14ac:dyDescent="0.3">
      <c r="A7" t="s">
        <v>2248</v>
      </c>
      <c r="B7" s="2">
        <f>VLOOKUP($B$2,'Ref. DC-1980(IPUMS)'!$E$1:$BV$784,7,FALSE)</f>
        <v>0</v>
      </c>
      <c r="C7" s="27" t="s">
        <v>172</v>
      </c>
      <c r="D7" s="2">
        <v>32990</v>
      </c>
      <c r="E7" t="s">
        <v>172</v>
      </c>
      <c r="F7" s="2">
        <v>2060296</v>
      </c>
      <c r="G7" s="27"/>
    </row>
    <row r="8" spans="1:7" x14ac:dyDescent="0.3">
      <c r="A8" s="18"/>
      <c r="B8" s="18"/>
      <c r="C8" s="18"/>
      <c r="D8" s="18"/>
      <c r="E8" s="18"/>
      <c r="F8" s="18"/>
      <c r="G8" s="18"/>
    </row>
    <row r="9" spans="1:7" x14ac:dyDescent="0.3">
      <c r="A9" s="211" t="s">
        <v>2249</v>
      </c>
      <c r="B9" s="122"/>
      <c r="C9" s="122"/>
      <c r="D9" s="303"/>
      <c r="E9" s="303"/>
      <c r="F9" s="211"/>
      <c r="G9" s="211"/>
    </row>
    <row r="10" spans="1:7" x14ac:dyDescent="0.3">
      <c r="A10" t="s">
        <v>2219</v>
      </c>
      <c r="B10" s="2">
        <f>VLOOKUP($B$2,'Ref. DC-1980(IPUMS)'!$E$1:$BV$784,8,FALSE)</f>
        <v>7359</v>
      </c>
      <c r="C10" s="27" t="s">
        <v>172</v>
      </c>
      <c r="D10" s="2">
        <v>20950</v>
      </c>
      <c r="E10" t="s">
        <v>172</v>
      </c>
      <c r="F10" s="2">
        <v>8629866</v>
      </c>
      <c r="G10" s="27"/>
    </row>
    <row r="11" spans="1:7" x14ac:dyDescent="0.3">
      <c r="A11" s="18"/>
      <c r="B11" s="18"/>
      <c r="C11" s="18"/>
      <c r="D11" s="18"/>
      <c r="E11" s="18"/>
      <c r="F11" s="18"/>
      <c r="G11" s="18"/>
    </row>
    <row r="12" spans="1:7" x14ac:dyDescent="0.3">
      <c r="A12" s="211" t="s">
        <v>2250</v>
      </c>
      <c r="B12" s="122"/>
      <c r="C12" s="122"/>
      <c r="D12" s="303"/>
      <c r="E12" s="303"/>
      <c r="F12" s="211"/>
      <c r="G12" s="211"/>
    </row>
    <row r="13" spans="1:7" x14ac:dyDescent="0.3">
      <c r="A13" t="s">
        <v>2251</v>
      </c>
      <c r="B13" s="2">
        <f>VLOOKUP($B$2,'Ref. DC-1980(IPUMS)'!$E$1:$BV$784,8,FALSE)</f>
        <v>7359</v>
      </c>
      <c r="C13" s="27" t="s">
        <v>172</v>
      </c>
      <c r="D13" s="2">
        <v>20950</v>
      </c>
      <c r="E13" t="s">
        <v>172</v>
      </c>
      <c r="F13" s="2">
        <v>8629866</v>
      </c>
      <c r="G13" s="27"/>
    </row>
    <row r="14" spans="1:7" x14ac:dyDescent="0.3">
      <c r="A14" t="s">
        <v>2177</v>
      </c>
      <c r="B14" s="2">
        <f>VLOOKUP($B$2,'Ref. DC-1980(IPUMS)'!$E$1:$BV$784,10,FALSE)</f>
        <v>3087</v>
      </c>
      <c r="C14" s="27">
        <f>B14/B$13</f>
        <v>0.41948634325315942</v>
      </c>
      <c r="D14" s="2">
        <v>6942</v>
      </c>
      <c r="E14" s="301">
        <v>0.33136038186157518</v>
      </c>
      <c r="F14" s="2">
        <v>3804614</v>
      </c>
      <c r="G14" s="27">
        <v>0.44086594160326475</v>
      </c>
    </row>
    <row r="15" spans="1:7" x14ac:dyDescent="0.3">
      <c r="A15" t="s">
        <v>2186</v>
      </c>
      <c r="B15" s="2">
        <f>VLOOKUP($B$2,'Ref. DC-1980(IPUMS)'!$E$1:$BV$784,9,FALSE)</f>
        <v>4272</v>
      </c>
      <c r="C15" s="27">
        <f>B15/B$13</f>
        <v>0.58051365674684063</v>
      </c>
      <c r="D15" s="2">
        <v>14008</v>
      </c>
      <c r="E15" s="301">
        <v>0.66863961813842487</v>
      </c>
      <c r="F15" s="2">
        <v>4825252</v>
      </c>
      <c r="G15" s="27">
        <v>0.55913405839673525</v>
      </c>
    </row>
    <row r="16" spans="1:7" x14ac:dyDescent="0.3">
      <c r="A16" s="18"/>
      <c r="B16" s="18"/>
      <c r="C16" s="18"/>
      <c r="D16" s="18"/>
      <c r="E16" s="18"/>
      <c r="F16" s="18"/>
      <c r="G16" s="18"/>
    </row>
    <row r="17" spans="1:7" x14ac:dyDescent="0.3">
      <c r="A17" s="122" t="s">
        <v>4580</v>
      </c>
      <c r="B17" s="122"/>
      <c r="C17" s="122"/>
      <c r="D17" s="303"/>
      <c r="E17" s="303"/>
      <c r="F17" s="211"/>
      <c r="G17" s="211"/>
    </row>
    <row r="18" spans="1:7" x14ac:dyDescent="0.3">
      <c r="A18" t="s">
        <v>4581</v>
      </c>
      <c r="B18" s="15">
        <f>VLOOKUP($B$2,'Ref. DC-1980(IPUMS)'!$E$1:$BV$784,11,FALSE)</f>
        <v>51500</v>
      </c>
      <c r="C18" s="27" t="s">
        <v>172</v>
      </c>
      <c r="D18" s="15">
        <v>60100</v>
      </c>
      <c r="E18" t="s">
        <v>172</v>
      </c>
      <c r="F18" s="15">
        <v>84700</v>
      </c>
      <c r="G18" s="27"/>
    </row>
    <row r="19" spans="1:7" x14ac:dyDescent="0.3">
      <c r="A19" s="18"/>
      <c r="B19" s="18"/>
      <c r="C19" s="18"/>
      <c r="D19" s="18"/>
      <c r="E19" s="18"/>
      <c r="F19" s="18"/>
      <c r="G19" s="18"/>
    </row>
    <row r="20" spans="1:7" x14ac:dyDescent="0.3">
      <c r="A20" s="211" t="s">
        <v>2252</v>
      </c>
      <c r="B20" s="122"/>
      <c r="C20" s="122"/>
      <c r="D20" s="303"/>
      <c r="E20" s="303"/>
      <c r="F20" s="211"/>
      <c r="G20" s="211"/>
    </row>
    <row r="21" spans="1:7" x14ac:dyDescent="0.3">
      <c r="A21" t="s">
        <v>2253</v>
      </c>
      <c r="B21" s="2">
        <f>SUM(B22:B25)</f>
        <v>8216</v>
      </c>
      <c r="C21" s="27" t="s">
        <v>172</v>
      </c>
      <c r="D21" s="2">
        <v>24088</v>
      </c>
      <c r="E21" t="s">
        <v>172</v>
      </c>
      <c r="F21" s="2">
        <v>9220421</v>
      </c>
      <c r="G21" s="27"/>
    </row>
    <row r="22" spans="1:7" x14ac:dyDescent="0.3">
      <c r="A22" t="s">
        <v>2254</v>
      </c>
      <c r="B22" s="2">
        <f>VLOOKUP($B$2,'Ref. DC-1980(IPUMS)'!$E$1:$BV$784,12,FALSE)</f>
        <v>6037</v>
      </c>
      <c r="C22" s="27">
        <f>B22/B$21</f>
        <v>0.73478578383641679</v>
      </c>
      <c r="D22" s="2">
        <v>18968</v>
      </c>
      <c r="E22" s="301">
        <v>0.78744603121886414</v>
      </c>
      <c r="F22" s="2">
        <v>6439899</v>
      </c>
      <c r="G22" s="27">
        <v>0.69843871554238146</v>
      </c>
    </row>
    <row r="23" spans="1:7" x14ac:dyDescent="0.3">
      <c r="A23" t="s">
        <v>2255</v>
      </c>
      <c r="B23" s="2">
        <f>VLOOKUP($B$2,'Ref. DC-1980(IPUMS)'!$E$1:$BV$784,13,FALSE)</f>
        <v>995</v>
      </c>
      <c r="C23" s="27">
        <f t="shared" ref="C23:C25" si="0">B23/B$21</f>
        <v>0.12110516066212269</v>
      </c>
      <c r="D23" s="2">
        <v>2322</v>
      </c>
      <c r="E23" s="301">
        <v>9.6396545998007302E-2</v>
      </c>
      <c r="F23" s="2">
        <v>1148225</v>
      </c>
      <c r="G23" s="27">
        <v>0.12453064778712382</v>
      </c>
    </row>
    <row r="24" spans="1:7" x14ac:dyDescent="0.3">
      <c r="A24" t="s">
        <v>2256</v>
      </c>
      <c r="B24" s="2">
        <f>VLOOKUP($B$2,'Ref. DC-1980(IPUMS)'!$E$1:$BV$784,14,FALSE)</f>
        <v>1033</v>
      </c>
      <c r="C24" s="27">
        <f t="shared" si="0"/>
        <v>0.12573028237585199</v>
      </c>
      <c r="D24" s="2">
        <v>1256</v>
      </c>
      <c r="E24" s="301">
        <v>5.2142145466622387E-2</v>
      </c>
      <c r="F24" s="2">
        <v>1251049</v>
      </c>
      <c r="G24" s="27">
        <v>0.13568241623674235</v>
      </c>
    </row>
    <row r="25" spans="1:7" x14ac:dyDescent="0.3">
      <c r="A25" t="s">
        <v>2257</v>
      </c>
      <c r="B25" s="2">
        <f>VLOOKUP($B$2,'Ref. DC-1980(IPUMS)'!$E$1:$BV$784,15,FALSE)</f>
        <v>151</v>
      </c>
      <c r="C25" s="27">
        <f t="shared" si="0"/>
        <v>1.837877312560857E-2</v>
      </c>
      <c r="D25" s="2">
        <v>1542</v>
      </c>
      <c r="E25" s="301">
        <v>6.401527731650615E-2</v>
      </c>
      <c r="F25" s="2">
        <v>381248</v>
      </c>
      <c r="G25" s="27">
        <v>4.1348220433752428E-2</v>
      </c>
    </row>
    <row r="26" spans="1:7" x14ac:dyDescent="0.3">
      <c r="A26" s="18"/>
      <c r="B26" s="18"/>
      <c r="C26" s="18"/>
      <c r="D26" s="18"/>
      <c r="E26" s="18"/>
      <c r="F26" s="18"/>
      <c r="G26" s="18"/>
    </row>
    <row r="27" spans="1:7" x14ac:dyDescent="0.3">
      <c r="A27" s="211" t="s">
        <v>2258</v>
      </c>
      <c r="B27" s="122"/>
      <c r="C27" s="122"/>
      <c r="D27" s="303"/>
      <c r="E27" s="303"/>
      <c r="F27" s="211"/>
      <c r="G27" s="211"/>
    </row>
    <row r="28" spans="1:7" x14ac:dyDescent="0.3">
      <c r="A28" t="s">
        <v>2259</v>
      </c>
      <c r="B28" s="2">
        <f>SUM(B29,B35,B41,B47,B53)</f>
        <v>3059</v>
      </c>
      <c r="C28" s="27" t="s">
        <v>172</v>
      </c>
      <c r="D28" s="2">
        <v>5885</v>
      </c>
      <c r="E28" t="s">
        <v>172</v>
      </c>
      <c r="F28" s="2">
        <v>3707451</v>
      </c>
      <c r="G28" s="27"/>
    </row>
    <row r="29" spans="1:7" x14ac:dyDescent="0.3">
      <c r="A29" t="s">
        <v>2260</v>
      </c>
      <c r="B29" s="2">
        <f>SUM(B30:B34)</f>
        <v>676</v>
      </c>
      <c r="C29" s="27">
        <f>B29/B$28</f>
        <v>0.22098725073553449</v>
      </c>
      <c r="D29" s="2">
        <v>1243</v>
      </c>
      <c r="E29" s="301">
        <v>0.21121495327102804</v>
      </c>
      <c r="F29" s="2">
        <v>673157</v>
      </c>
      <c r="G29" s="27">
        <v>0.18156868425233402</v>
      </c>
    </row>
    <row r="30" spans="1:7" x14ac:dyDescent="0.3">
      <c r="A30" t="s">
        <v>2227</v>
      </c>
      <c r="B30" s="2">
        <f>VLOOKUP($B$2,'Ref. DC-1980(IPUMS)'!$E$1:$BV$784,19,FALSE)</f>
        <v>20</v>
      </c>
      <c r="C30" s="27">
        <f t="shared" ref="C30:C58" si="1">B30/B$28</f>
        <v>6.5380843412880026E-3</v>
      </c>
      <c r="D30" s="2">
        <v>20</v>
      </c>
      <c r="E30" s="301">
        <v>3.3984706881903144E-3</v>
      </c>
      <c r="F30" s="2">
        <v>11172</v>
      </c>
      <c r="G30" s="27">
        <v>3.0133911412450224E-3</v>
      </c>
    </row>
    <row r="31" spans="1:7" x14ac:dyDescent="0.3">
      <c r="A31" t="s">
        <v>2207</v>
      </c>
      <c r="B31" s="2">
        <f>VLOOKUP($B$2,'Ref. DC-1980(IPUMS)'!$E$1:$BV$784,20,FALSE)</f>
        <v>89</v>
      </c>
      <c r="C31" s="27">
        <f t="shared" si="1"/>
        <v>2.9094475318731612E-2</v>
      </c>
      <c r="D31" s="2">
        <v>101</v>
      </c>
      <c r="E31" s="301">
        <v>1.7162276975361088E-2</v>
      </c>
      <c r="F31" s="2">
        <v>21307</v>
      </c>
      <c r="G31" s="27">
        <v>5.7470752816422927E-3</v>
      </c>
    </row>
    <row r="32" spans="1:7" x14ac:dyDescent="0.3">
      <c r="A32" t="s">
        <v>2261</v>
      </c>
      <c r="B32" s="2">
        <f>VLOOKUP($B$2,'Ref. DC-1980(IPUMS)'!$E$1:$BV$784,21,FALSE)</f>
        <v>121</v>
      </c>
      <c r="C32" s="27">
        <f t="shared" si="1"/>
        <v>3.9555410264792416E-2</v>
      </c>
      <c r="D32" s="2">
        <v>186</v>
      </c>
      <c r="E32" s="301">
        <v>3.1605777400169927E-2</v>
      </c>
      <c r="F32" s="2">
        <v>43505</v>
      </c>
      <c r="G32" s="27">
        <v>1.1734477407793117E-2</v>
      </c>
    </row>
    <row r="33" spans="1:7" x14ac:dyDescent="0.3">
      <c r="A33" t="s">
        <v>2228</v>
      </c>
      <c r="B33" s="2">
        <f>VLOOKUP($B$2,'Ref. DC-1980(IPUMS)'!$E$1:$BV$784,22,FALSE)</f>
        <v>382</v>
      </c>
      <c r="C33" s="27">
        <f t="shared" si="1"/>
        <v>0.12487741091860086</v>
      </c>
      <c r="D33" s="2">
        <v>759</v>
      </c>
      <c r="E33" s="301">
        <v>0.12897196261682242</v>
      </c>
      <c r="F33" s="2">
        <v>502074</v>
      </c>
      <c r="G33" s="27">
        <v>0.1354229631086156</v>
      </c>
    </row>
    <row r="34" spans="1:7" x14ac:dyDescent="0.3">
      <c r="A34" t="s">
        <v>2213</v>
      </c>
      <c r="B34" s="2">
        <f>VLOOKUP($B$2,'Ref. DC-1980(IPUMS)'!$E$1:$BV$784,23,FALSE)</f>
        <v>64</v>
      </c>
      <c r="C34" s="27">
        <f t="shared" si="1"/>
        <v>2.0921869892121608E-2</v>
      </c>
      <c r="D34" s="2">
        <v>177</v>
      </c>
      <c r="E34" s="301">
        <v>3.0076465590484283E-2</v>
      </c>
      <c r="F34" s="2">
        <v>95099</v>
      </c>
      <c r="G34" s="27">
        <v>2.5650777313037987E-2</v>
      </c>
    </row>
    <row r="35" spans="1:7" x14ac:dyDescent="0.3">
      <c r="A35" t="s">
        <v>2262</v>
      </c>
      <c r="B35" s="2">
        <f>SUM(B36:B40)</f>
        <v>832</v>
      </c>
      <c r="C35" s="27">
        <f t="shared" si="1"/>
        <v>0.27198430859758088</v>
      </c>
      <c r="D35" s="2">
        <v>1563</v>
      </c>
      <c r="E35" s="301">
        <v>0.26559048428207305</v>
      </c>
      <c r="F35" s="2">
        <v>794588</v>
      </c>
      <c r="G35" s="27">
        <v>0.21432191551553884</v>
      </c>
    </row>
    <row r="36" spans="1:7" x14ac:dyDescent="0.3">
      <c r="A36" t="s">
        <v>2227</v>
      </c>
      <c r="B36" s="2">
        <f>VLOOKUP($B$2,'Ref. DC-1980(IPUMS)'!$E$1:$BV$784,24,FALSE)</f>
        <v>127</v>
      </c>
      <c r="C36" s="27">
        <f t="shared" si="1"/>
        <v>4.151683556717882E-2</v>
      </c>
      <c r="D36" s="2">
        <v>196</v>
      </c>
      <c r="E36" s="301">
        <v>3.3305012744265082E-2</v>
      </c>
      <c r="F36" s="2">
        <v>47871</v>
      </c>
      <c r="G36" s="27">
        <v>1.2912105918594744E-2</v>
      </c>
    </row>
    <row r="37" spans="1:7" x14ac:dyDescent="0.3">
      <c r="A37" t="s">
        <v>2207</v>
      </c>
      <c r="B37" s="2">
        <f>VLOOKUP($B$2,'Ref. DC-1980(IPUMS)'!$E$1:$BV$784,25,FALSE)</f>
        <v>141</v>
      </c>
      <c r="C37" s="27">
        <f t="shared" si="1"/>
        <v>4.6093494606080421E-2</v>
      </c>
      <c r="D37" s="2">
        <v>191</v>
      </c>
      <c r="E37" s="301">
        <v>3.2455395072217501E-2</v>
      </c>
      <c r="F37" s="2">
        <v>60871</v>
      </c>
      <c r="G37" s="27">
        <v>1.6418558195374664E-2</v>
      </c>
    </row>
    <row r="38" spans="1:7" x14ac:dyDescent="0.3">
      <c r="A38" t="s">
        <v>2261</v>
      </c>
      <c r="B38" s="2">
        <f>VLOOKUP($B$2,'Ref. DC-1980(IPUMS)'!$E$1:$BV$784,26,FALSE)</f>
        <v>240</v>
      </c>
      <c r="C38" s="27">
        <f t="shared" si="1"/>
        <v>7.8457012095456025E-2</v>
      </c>
      <c r="D38" s="2">
        <v>398</v>
      </c>
      <c r="E38" s="301">
        <v>6.762956669498725E-2</v>
      </c>
      <c r="F38" s="2">
        <v>183326</v>
      </c>
      <c r="G38" s="27">
        <v>4.9447990007150465E-2</v>
      </c>
    </row>
    <row r="39" spans="1:7" x14ac:dyDescent="0.3">
      <c r="A39" t="s">
        <v>2228</v>
      </c>
      <c r="B39" s="2">
        <f>VLOOKUP($B$2,'Ref. DC-1980(IPUMS)'!$E$1:$BV$784,27,FALSE)</f>
        <v>318</v>
      </c>
      <c r="C39" s="27">
        <f t="shared" si="1"/>
        <v>0.10395554102647925</v>
      </c>
      <c r="D39" s="2">
        <v>582</v>
      </c>
      <c r="E39" s="301">
        <v>9.8895497026338153E-2</v>
      </c>
      <c r="F39" s="2">
        <v>481852</v>
      </c>
      <c r="G39" s="27">
        <v>0.12996854172853531</v>
      </c>
    </row>
    <row r="40" spans="1:7" x14ac:dyDescent="0.3">
      <c r="A40" t="s">
        <v>2213</v>
      </c>
      <c r="B40" s="2">
        <f>VLOOKUP($B$2,'Ref. DC-1980(IPUMS)'!$E$1:$BV$784,28,FALSE)</f>
        <v>6</v>
      </c>
      <c r="C40" s="27">
        <f t="shared" si="1"/>
        <v>1.9614253023864008E-3</v>
      </c>
      <c r="D40" s="2">
        <v>196</v>
      </c>
      <c r="E40" s="301">
        <v>3.3305012744265082E-2</v>
      </c>
      <c r="F40" s="2">
        <v>20668</v>
      </c>
      <c r="G40" s="27">
        <v>5.5747196658836491E-3</v>
      </c>
    </row>
    <row r="41" spans="1:7" x14ac:dyDescent="0.3">
      <c r="A41" t="s">
        <v>2263</v>
      </c>
      <c r="B41" s="2">
        <f>SUM(B42:B46)</f>
        <v>615</v>
      </c>
      <c r="C41" s="27">
        <f t="shared" si="1"/>
        <v>0.20104609349460609</v>
      </c>
      <c r="D41" s="2">
        <v>1224</v>
      </c>
      <c r="E41" s="301">
        <v>0.20798640611724725</v>
      </c>
      <c r="F41" s="2">
        <v>731430</v>
      </c>
      <c r="G41" s="27">
        <v>0.19728649144654911</v>
      </c>
    </row>
    <row r="42" spans="1:7" x14ac:dyDescent="0.3">
      <c r="A42" t="s">
        <v>2227</v>
      </c>
      <c r="B42" s="2">
        <f>VLOOKUP($B$2,'Ref. DC-1980(IPUMS)'!$E$1:$BV$784,29,FALSE)</f>
        <v>184</v>
      </c>
      <c r="C42" s="27">
        <f t="shared" si="1"/>
        <v>6.0150375939849621E-2</v>
      </c>
      <c r="D42" s="2">
        <v>410</v>
      </c>
      <c r="E42" s="301">
        <v>6.9668649107901451E-2</v>
      </c>
      <c r="F42" s="2">
        <v>139380</v>
      </c>
      <c r="G42" s="27">
        <v>3.7594562949045042E-2</v>
      </c>
    </row>
    <row r="43" spans="1:7" x14ac:dyDescent="0.3">
      <c r="A43" t="s">
        <v>2207</v>
      </c>
      <c r="B43" s="2">
        <f>VLOOKUP($B$2,'Ref. DC-1980(IPUMS)'!$E$1:$BV$784,30,FALSE)</f>
        <v>234</v>
      </c>
      <c r="C43" s="27">
        <f t="shared" si="1"/>
        <v>7.6495586793069628E-2</v>
      </c>
      <c r="D43" s="2">
        <v>339</v>
      </c>
      <c r="E43" s="301">
        <v>5.760407816482583E-2</v>
      </c>
      <c r="F43" s="2">
        <v>145967</v>
      </c>
      <c r="G43" s="27">
        <v>3.9371255344979608E-2</v>
      </c>
    </row>
    <row r="44" spans="1:7" x14ac:dyDescent="0.3">
      <c r="A44" t="s">
        <v>2261</v>
      </c>
      <c r="B44" s="2">
        <f>VLOOKUP($B$2,'Ref. DC-1980(IPUMS)'!$E$1:$BV$784,31,FALSE)</f>
        <v>149</v>
      </c>
      <c r="C44" s="27">
        <f t="shared" si="1"/>
        <v>4.8708728342595618E-2</v>
      </c>
      <c r="D44" s="2">
        <v>288</v>
      </c>
      <c r="E44" s="301">
        <v>4.8937977909940526E-2</v>
      </c>
      <c r="F44" s="2">
        <v>257390</v>
      </c>
      <c r="G44" s="27">
        <v>6.9425057809260324E-2</v>
      </c>
    </row>
    <row r="45" spans="1:7" x14ac:dyDescent="0.3">
      <c r="A45" t="s">
        <v>2228</v>
      </c>
      <c r="B45" s="2">
        <f>VLOOKUP($B$2,'Ref. DC-1980(IPUMS)'!$E$1:$BV$784,32,FALSE)</f>
        <v>14</v>
      </c>
      <c r="C45" s="27">
        <f t="shared" si="1"/>
        <v>4.5766590389016018E-3</v>
      </c>
      <c r="D45" s="2">
        <v>56</v>
      </c>
      <c r="E45" s="301">
        <v>9.5157179269328811E-3</v>
      </c>
      <c r="F45" s="2">
        <v>172397</v>
      </c>
      <c r="G45" s="27">
        <v>4.6500142550771409E-2</v>
      </c>
    </row>
    <row r="46" spans="1:7" x14ac:dyDescent="0.3">
      <c r="A46" t="s">
        <v>2213</v>
      </c>
      <c r="B46" s="2">
        <f>VLOOKUP($B$2,'Ref. DC-1980(IPUMS)'!$E$1:$BV$784,33,FALSE)</f>
        <v>34</v>
      </c>
      <c r="C46" s="27">
        <f t="shared" si="1"/>
        <v>1.1114743380189604E-2</v>
      </c>
      <c r="D46" s="2">
        <v>131</v>
      </c>
      <c r="E46" s="301">
        <v>2.2259983007646558E-2</v>
      </c>
      <c r="F46" s="2">
        <v>16296</v>
      </c>
      <c r="G46" s="27">
        <v>4.3954727924927399E-3</v>
      </c>
    </row>
    <row r="47" spans="1:7" x14ac:dyDescent="0.3">
      <c r="A47" t="s">
        <v>2264</v>
      </c>
      <c r="B47" s="2">
        <f>SUM(B48:B52)</f>
        <v>451</v>
      </c>
      <c r="C47" s="27">
        <f t="shared" si="1"/>
        <v>0.14743380189604446</v>
      </c>
      <c r="D47" s="2">
        <v>817</v>
      </c>
      <c r="E47" s="301">
        <v>0.13882752761257433</v>
      </c>
      <c r="F47" s="2">
        <v>550966</v>
      </c>
      <c r="G47" s="27">
        <v>0.14861046039448667</v>
      </c>
    </row>
    <row r="48" spans="1:7" x14ac:dyDescent="0.3">
      <c r="A48" t="s">
        <v>2227</v>
      </c>
      <c r="B48" s="2">
        <f>VLOOKUP($B$2,'Ref. DC-1980(IPUMS)'!$E$1:$BV$784,34,FALSE)</f>
        <v>340</v>
      </c>
      <c r="C48" s="27">
        <f t="shared" si="1"/>
        <v>0.11114743380189604</v>
      </c>
      <c r="D48" s="2">
        <v>524</v>
      </c>
      <c r="E48" s="301">
        <v>8.903993203058623E-2</v>
      </c>
      <c r="F48" s="2">
        <v>230302</v>
      </c>
      <c r="G48" s="27">
        <v>6.211869017284382E-2</v>
      </c>
    </row>
    <row r="49" spans="1:7" x14ac:dyDescent="0.3">
      <c r="A49" t="s">
        <v>2207</v>
      </c>
      <c r="B49" s="2">
        <f>VLOOKUP($B$2,'Ref. DC-1980(IPUMS)'!$E$1:$BV$784,35,FALSE)</f>
        <v>54</v>
      </c>
      <c r="C49" s="27">
        <f t="shared" si="1"/>
        <v>1.7652827721477606E-2</v>
      </c>
      <c r="D49" s="2">
        <v>99</v>
      </c>
      <c r="E49" s="301">
        <v>1.6822429906542057E-2</v>
      </c>
      <c r="F49" s="2">
        <v>137522</v>
      </c>
      <c r="G49" s="27">
        <v>3.709341000056373E-2</v>
      </c>
    </row>
    <row r="50" spans="1:7" x14ac:dyDescent="0.3">
      <c r="A50" t="s">
        <v>2261</v>
      </c>
      <c r="B50" s="2">
        <f>VLOOKUP($B$2,'Ref. DC-1980(IPUMS)'!$E$1:$BV$784,36,FALSE)</f>
        <v>44</v>
      </c>
      <c r="C50" s="27">
        <f t="shared" si="1"/>
        <v>1.4383785550833606E-2</v>
      </c>
      <c r="D50" s="2">
        <v>112</v>
      </c>
      <c r="E50" s="301">
        <v>1.9031435853865762E-2</v>
      </c>
      <c r="F50" s="2">
        <v>129365</v>
      </c>
      <c r="G50" s="27">
        <v>3.4893246060433432E-2</v>
      </c>
    </row>
    <row r="51" spans="1:7" x14ac:dyDescent="0.3">
      <c r="A51" t="s">
        <v>2228</v>
      </c>
      <c r="B51" s="2">
        <f>VLOOKUP($B$2,'Ref. DC-1980(IPUMS)'!$E$1:$BV$784,37,FALSE)</f>
        <v>8</v>
      </c>
      <c r="C51" s="27">
        <f t="shared" si="1"/>
        <v>2.6152337365152011E-3</v>
      </c>
      <c r="D51" s="2">
        <v>31</v>
      </c>
      <c r="E51" s="301">
        <v>5.2676295666949872E-3</v>
      </c>
      <c r="F51" s="2">
        <v>42922</v>
      </c>
      <c r="G51" s="27">
        <v>1.1577226509534449E-2</v>
      </c>
    </row>
    <row r="52" spans="1:7" x14ac:dyDescent="0.3">
      <c r="A52" t="s">
        <v>2213</v>
      </c>
      <c r="B52" s="2">
        <f>VLOOKUP($B$2,'Ref. DC-1980(IPUMS)'!$E$1:$BV$784,38,FALSE)</f>
        <v>5</v>
      </c>
      <c r="C52" s="27">
        <f t="shared" si="1"/>
        <v>1.6345210853220007E-3</v>
      </c>
      <c r="D52" s="2">
        <v>51</v>
      </c>
      <c r="E52" s="301">
        <v>8.6661002548853016E-3</v>
      </c>
      <c r="F52" s="2">
        <v>10855</v>
      </c>
      <c r="G52" s="27">
        <v>2.9278876511112354E-3</v>
      </c>
    </row>
    <row r="53" spans="1:7" x14ac:dyDescent="0.3">
      <c r="A53" t="s">
        <v>2265</v>
      </c>
      <c r="B53" s="2">
        <f>SUM(B54:B58)</f>
        <v>485</v>
      </c>
      <c r="C53" s="27">
        <f t="shared" si="1"/>
        <v>0.15854854527623408</v>
      </c>
      <c r="D53" s="2">
        <v>1038</v>
      </c>
      <c r="E53" s="301">
        <v>0.17638062871707733</v>
      </c>
      <c r="F53" s="2">
        <v>957310</v>
      </c>
      <c r="G53" s="27">
        <v>0.25821244839109136</v>
      </c>
    </row>
    <row r="54" spans="1:7" x14ac:dyDescent="0.3">
      <c r="A54" t="s">
        <v>2227</v>
      </c>
      <c r="B54" s="2">
        <f>VLOOKUP($B$2,'Ref. DC-1980(IPUMS)'!$E$1:$BV$784,39,FALSE)</f>
        <v>426</v>
      </c>
      <c r="C54" s="27">
        <f t="shared" si="1"/>
        <v>0.13926119646943447</v>
      </c>
      <c r="D54" s="2">
        <v>780</v>
      </c>
      <c r="E54" s="301">
        <v>0.13254035683942225</v>
      </c>
      <c r="F54" s="2">
        <v>707802</v>
      </c>
      <c r="G54" s="27">
        <v>0.1909133795699525</v>
      </c>
    </row>
    <row r="55" spans="1:7" x14ac:dyDescent="0.3">
      <c r="A55" t="s">
        <v>2207</v>
      </c>
      <c r="B55" s="2">
        <f>VLOOKUP($B$2,'Ref. DC-1980(IPUMS)'!$E$1:$BV$784,40,FALSE)</f>
        <v>29</v>
      </c>
      <c r="C55" s="27">
        <f t="shared" si="1"/>
        <v>9.4802222948676042E-3</v>
      </c>
      <c r="D55" s="2">
        <v>73</v>
      </c>
      <c r="E55" s="301">
        <v>1.2404418011894647E-2</v>
      </c>
      <c r="F55" s="2">
        <v>142527</v>
      </c>
      <c r="G55" s="27">
        <v>3.8443394127123998E-2</v>
      </c>
    </row>
    <row r="56" spans="1:7" x14ac:dyDescent="0.3">
      <c r="A56" t="s">
        <v>2261</v>
      </c>
      <c r="B56" s="2">
        <f>VLOOKUP($B$2,'Ref. DC-1980(IPUMS)'!$E$1:$BV$784,41,FALSE)</f>
        <v>17</v>
      </c>
      <c r="C56" s="27">
        <f t="shared" si="1"/>
        <v>5.5573716900948018E-3</v>
      </c>
      <c r="D56" s="2">
        <v>32</v>
      </c>
      <c r="E56" s="301">
        <v>5.4375531011045027E-3</v>
      </c>
      <c r="F56" s="2">
        <v>81086</v>
      </c>
      <c r="G56" s="27">
        <v>2.1871091485767446E-2</v>
      </c>
    </row>
    <row r="57" spans="1:7" x14ac:dyDescent="0.3">
      <c r="A57" t="s">
        <v>2228</v>
      </c>
      <c r="B57" s="2">
        <f>VLOOKUP($B$2,'Ref. DC-1980(IPUMS)'!$E$1:$BV$784,42,FALSE)</f>
        <v>0</v>
      </c>
      <c r="C57" s="27">
        <f t="shared" si="1"/>
        <v>0</v>
      </c>
      <c r="D57" s="2">
        <v>0</v>
      </c>
      <c r="E57" s="301">
        <v>0</v>
      </c>
      <c r="F57" s="2">
        <v>5773</v>
      </c>
      <c r="G57" s="27">
        <v>1.5571345379884994E-3</v>
      </c>
    </row>
    <row r="58" spans="1:7" x14ac:dyDescent="0.3">
      <c r="A58" t="s">
        <v>2213</v>
      </c>
      <c r="B58" s="2">
        <f>VLOOKUP($B$2,'Ref. DC-1980(IPUMS)'!$E$1:$BV$784,43,FALSE)</f>
        <v>13</v>
      </c>
      <c r="C58" s="27">
        <f t="shared" si="1"/>
        <v>4.2497548218372013E-3</v>
      </c>
      <c r="D58" s="2">
        <v>153</v>
      </c>
      <c r="E58" s="301">
        <v>2.5998300764655907E-2</v>
      </c>
      <c r="F58" s="2">
        <v>20122</v>
      </c>
      <c r="G58" s="27">
        <v>5.4274486702588923E-3</v>
      </c>
    </row>
    <row r="59" spans="1:7" x14ac:dyDescent="0.3">
      <c r="A59" s="18"/>
      <c r="B59" s="18"/>
      <c r="C59" s="18"/>
      <c r="D59" s="18"/>
      <c r="E59" s="18"/>
      <c r="F59" s="18"/>
      <c r="G59" s="18"/>
    </row>
    <row r="60" spans="1:7" x14ac:dyDescent="0.3">
      <c r="A60" s="211" t="s">
        <v>2266</v>
      </c>
      <c r="B60" s="122"/>
      <c r="C60" s="122"/>
      <c r="D60" s="303"/>
      <c r="E60" s="303"/>
      <c r="F60" s="211"/>
      <c r="G60" s="211"/>
    </row>
    <row r="61" spans="1:7" x14ac:dyDescent="0.3">
      <c r="A61" t="s">
        <v>2267</v>
      </c>
      <c r="B61" s="2">
        <f>SUM(B62:B63)</f>
        <v>372</v>
      </c>
      <c r="C61" t="s">
        <v>172</v>
      </c>
      <c r="D61" s="2">
        <v>477</v>
      </c>
      <c r="E61" t="s">
        <v>172</v>
      </c>
      <c r="F61" s="2">
        <v>509</v>
      </c>
      <c r="G61" s="27"/>
    </row>
    <row r="62" spans="1:7" x14ac:dyDescent="0.3">
      <c r="A62" t="s">
        <v>2268</v>
      </c>
      <c r="B62" s="2">
        <f>VLOOKUP($B$2,'Ref. DC-1980(IPUMS)'!$E$1:$BV$784,44,FALSE)</f>
        <v>296</v>
      </c>
      <c r="C62" s="301">
        <f>B62/B$61</f>
        <v>0.79569892473118276</v>
      </c>
      <c r="D62" s="2">
        <v>389</v>
      </c>
      <c r="E62" s="301">
        <v>0.81551362683438156</v>
      </c>
      <c r="F62" s="2">
        <v>411</v>
      </c>
      <c r="G62" s="27">
        <v>0.80746561886051083</v>
      </c>
    </row>
    <row r="63" spans="1:7" x14ac:dyDescent="0.3">
      <c r="A63" t="s">
        <v>2269</v>
      </c>
      <c r="B63" s="2">
        <f>VLOOKUP($B$2,'Ref. DC-1980(IPUMS)'!$E$1:$BV$784,45,FALSE)</f>
        <v>76</v>
      </c>
      <c r="C63" s="301">
        <f>B63/B$61</f>
        <v>0.20430107526881722</v>
      </c>
      <c r="D63" s="2">
        <v>88</v>
      </c>
      <c r="E63" s="301">
        <v>0.18448637316561844</v>
      </c>
      <c r="F63" s="2">
        <v>98</v>
      </c>
      <c r="G63" s="27">
        <v>0.1925343811394892</v>
      </c>
    </row>
    <row r="64" spans="1:7" x14ac:dyDescent="0.3">
      <c r="A64" s="18"/>
      <c r="B64" s="18"/>
      <c r="C64" s="18"/>
      <c r="D64" s="18"/>
      <c r="E64" s="18"/>
      <c r="F64" s="18"/>
      <c r="G64" s="18"/>
    </row>
    <row r="65" spans="1:7" x14ac:dyDescent="0.3">
      <c r="A65" s="211" t="s">
        <v>2270</v>
      </c>
      <c r="B65" s="122"/>
      <c r="C65" s="122"/>
      <c r="D65" s="303"/>
      <c r="E65" s="303"/>
      <c r="F65" s="211"/>
      <c r="G65" s="211"/>
    </row>
    <row r="66" spans="1:7" x14ac:dyDescent="0.3">
      <c r="A66" t="s">
        <v>2267</v>
      </c>
      <c r="B66" s="2">
        <f>SUM(B67,B73,B79,B85,B91)</f>
        <v>3921</v>
      </c>
      <c r="C66" s="27" t="s">
        <v>172</v>
      </c>
      <c r="D66" s="2">
        <v>10326</v>
      </c>
      <c r="E66" t="s">
        <v>172</v>
      </c>
      <c r="F66" s="2">
        <v>3831493</v>
      </c>
      <c r="G66" s="27"/>
    </row>
    <row r="67" spans="1:7" x14ac:dyDescent="0.3">
      <c r="A67" t="s">
        <v>2260</v>
      </c>
      <c r="B67" s="2">
        <f>SUM(B68:B72)</f>
        <v>500</v>
      </c>
      <c r="C67" s="27">
        <f>B67/B$66</f>
        <v>0.12751849018107625</v>
      </c>
      <c r="D67" s="2">
        <v>1063</v>
      </c>
      <c r="E67" s="301">
        <v>0.10294402479178771</v>
      </c>
      <c r="F67" s="2">
        <v>219034</v>
      </c>
      <c r="G67" s="27">
        <v>5.7166749358539867E-2</v>
      </c>
    </row>
    <row r="68" spans="1:7" x14ac:dyDescent="0.3">
      <c r="A68" t="s">
        <v>2227</v>
      </c>
      <c r="B68" s="2">
        <f>VLOOKUP($B$2,'Ref. DC-1980(IPUMS)'!$E$1:$BV$784,46,FALSE)</f>
        <v>159</v>
      </c>
      <c r="C68" s="27">
        <f t="shared" ref="C68:C96" si="2">B68/B$66</f>
        <v>4.0550879877582248E-2</v>
      </c>
      <c r="D68" s="2">
        <v>266</v>
      </c>
      <c r="E68" s="301">
        <v>2.5760216928142551E-2</v>
      </c>
      <c r="F68" s="2">
        <v>29306</v>
      </c>
      <c r="G68" s="27">
        <v>7.6487155268194409E-3</v>
      </c>
    </row>
    <row r="69" spans="1:7" x14ac:dyDescent="0.3">
      <c r="A69" t="s">
        <v>2207</v>
      </c>
      <c r="B69" s="2">
        <f>VLOOKUP($B$2,'Ref. DC-1980(IPUMS)'!$E$1:$BV$784,47,FALSE)</f>
        <v>74</v>
      </c>
      <c r="C69" s="27">
        <f t="shared" si="2"/>
        <v>1.8872736546799287E-2</v>
      </c>
      <c r="D69" s="2">
        <v>85</v>
      </c>
      <c r="E69" s="301">
        <v>8.2316482665117183E-3</v>
      </c>
      <c r="F69" s="2">
        <v>18456</v>
      </c>
      <c r="G69" s="27">
        <v>4.8169212367085105E-3</v>
      </c>
    </row>
    <row r="70" spans="1:7" x14ac:dyDescent="0.3">
      <c r="A70" t="s">
        <v>2261</v>
      </c>
      <c r="B70" s="2">
        <f>VLOOKUP($B$2,'Ref. DC-1980(IPUMS)'!$E$1:$BV$784,48,FALSE)</f>
        <v>52</v>
      </c>
      <c r="C70" s="27">
        <f t="shared" si="2"/>
        <v>1.3261922978831931E-2</v>
      </c>
      <c r="D70" s="2">
        <v>149</v>
      </c>
      <c r="E70" s="301">
        <v>1.4429595196591129E-2</v>
      </c>
      <c r="F70" s="2">
        <v>25767</v>
      </c>
      <c r="G70" s="27">
        <v>6.7250546979989263E-3</v>
      </c>
    </row>
    <row r="71" spans="1:7" x14ac:dyDescent="0.3">
      <c r="A71" t="s">
        <v>2228</v>
      </c>
      <c r="B71" s="2">
        <f>VLOOKUP($B$2,'Ref. DC-1980(IPUMS)'!$E$1:$BV$784,49,FALSE)</f>
        <v>163</v>
      </c>
      <c r="C71" s="27">
        <f t="shared" si="2"/>
        <v>4.1571027799030859E-2</v>
      </c>
      <c r="D71" s="2">
        <v>470</v>
      </c>
      <c r="E71" s="301">
        <v>4.5516172767770674E-2</v>
      </c>
      <c r="F71" s="2">
        <v>114601</v>
      </c>
      <c r="G71" s="27">
        <v>2.9910272575207626E-2</v>
      </c>
    </row>
    <row r="72" spans="1:7" x14ac:dyDescent="0.3">
      <c r="A72" t="s">
        <v>2213</v>
      </c>
      <c r="B72" s="2">
        <f>VLOOKUP($B$2,'Ref. DC-1980(IPUMS)'!$E$1:$BV$784,50,FALSE)</f>
        <v>52</v>
      </c>
      <c r="C72" s="27">
        <f t="shared" si="2"/>
        <v>1.3261922978831931E-2</v>
      </c>
      <c r="D72" s="2">
        <v>93</v>
      </c>
      <c r="E72" s="301">
        <v>9.0063916327716449E-3</v>
      </c>
      <c r="F72" s="2">
        <v>30904</v>
      </c>
      <c r="G72" s="27">
        <v>8.0657853218053643E-3</v>
      </c>
    </row>
    <row r="73" spans="1:7" x14ac:dyDescent="0.3">
      <c r="A73" t="s">
        <v>2262</v>
      </c>
      <c r="B73" s="2">
        <f>SUM(B74:B78)</f>
        <v>624</v>
      </c>
      <c r="C73" s="27">
        <f t="shared" si="2"/>
        <v>0.15914307574598316</v>
      </c>
      <c r="D73" s="2">
        <v>1552</v>
      </c>
      <c r="E73" s="301">
        <v>0.15030021305442573</v>
      </c>
      <c r="F73" s="2">
        <v>332591</v>
      </c>
      <c r="G73" s="27">
        <v>8.6804543294219771E-2</v>
      </c>
    </row>
    <row r="74" spans="1:7" x14ac:dyDescent="0.3">
      <c r="A74" t="s">
        <v>2227</v>
      </c>
      <c r="B74" s="2">
        <f>VLOOKUP($B$2,'Ref. DC-1980(IPUMS)'!$E$1:$BV$784,51,FALSE)</f>
        <v>358</v>
      </c>
      <c r="C74" s="27">
        <f t="shared" si="2"/>
        <v>9.1303238969650605E-2</v>
      </c>
      <c r="D74" s="2">
        <v>788</v>
      </c>
      <c r="E74" s="301">
        <v>7.6312221576602751E-2</v>
      </c>
      <c r="F74" s="2">
        <v>144315</v>
      </c>
      <c r="G74" s="27">
        <v>3.7665474007129857E-2</v>
      </c>
    </row>
    <row r="75" spans="1:7" x14ac:dyDescent="0.3">
      <c r="A75" t="s">
        <v>2207</v>
      </c>
      <c r="B75" s="2">
        <f>VLOOKUP($B$2,'Ref. DC-1980(IPUMS)'!$E$1:$BV$784,52,FALSE)</f>
        <v>82</v>
      </c>
      <c r="C75" s="27">
        <f t="shared" si="2"/>
        <v>2.0913032389696506E-2</v>
      </c>
      <c r="D75" s="2">
        <v>134</v>
      </c>
      <c r="E75" s="301">
        <v>1.2976951384853767E-2</v>
      </c>
      <c r="F75" s="2">
        <v>31203</v>
      </c>
      <c r="G75" s="27">
        <v>8.1438227865743198E-3</v>
      </c>
    </row>
    <row r="76" spans="1:7" x14ac:dyDescent="0.3">
      <c r="A76" t="s">
        <v>2261</v>
      </c>
      <c r="B76" s="2">
        <f>VLOOKUP($B$2,'Ref. DC-1980(IPUMS)'!$E$1:$BV$784,53,FALSE)</f>
        <v>65</v>
      </c>
      <c r="C76" s="27">
        <f t="shared" si="2"/>
        <v>1.6577403723539913E-2</v>
      </c>
      <c r="D76" s="2">
        <v>228</v>
      </c>
      <c r="E76" s="301">
        <v>2.2080185938407902E-2</v>
      </c>
      <c r="F76" s="2">
        <v>46361</v>
      </c>
      <c r="G76" s="27">
        <v>1.2099982957035287E-2</v>
      </c>
    </row>
    <row r="77" spans="1:7" x14ac:dyDescent="0.3">
      <c r="A77" t="s">
        <v>2228</v>
      </c>
      <c r="B77" s="2">
        <f>VLOOKUP($B$2,'Ref. DC-1980(IPUMS)'!$E$1:$BV$784,54,FALSE)</f>
        <v>119</v>
      </c>
      <c r="C77" s="27">
        <f t="shared" si="2"/>
        <v>3.034940066309615E-2</v>
      </c>
      <c r="D77" s="2">
        <v>402</v>
      </c>
      <c r="E77" s="301">
        <v>3.8930854154561302E-2</v>
      </c>
      <c r="F77" s="2">
        <v>110712</v>
      </c>
      <c r="G77" s="27">
        <v>2.889526354348031E-2</v>
      </c>
    </row>
    <row r="78" spans="1:7" x14ac:dyDescent="0.3">
      <c r="A78" t="s">
        <v>2213</v>
      </c>
      <c r="B78" s="2">
        <f>VLOOKUP($B$2,'Ref. DC-1980(IPUMS)'!$E$1:$BV$784,55,FALSE)</f>
        <v>0</v>
      </c>
      <c r="C78" s="27">
        <f t="shared" si="2"/>
        <v>0</v>
      </c>
      <c r="D78" s="2">
        <v>0</v>
      </c>
      <c r="E78" s="301">
        <v>0</v>
      </c>
      <c r="F78" s="2">
        <v>0</v>
      </c>
      <c r="G78" s="27">
        <v>0</v>
      </c>
    </row>
    <row r="79" spans="1:7" x14ac:dyDescent="0.3">
      <c r="A79" t="s">
        <v>2263</v>
      </c>
      <c r="B79" s="2">
        <f>SUM(B80:B84)</f>
        <v>545</v>
      </c>
      <c r="C79" s="27">
        <f t="shared" si="2"/>
        <v>0.13899515429737311</v>
      </c>
      <c r="D79" s="2">
        <v>1336</v>
      </c>
      <c r="E79" s="301">
        <v>0.12938214216540772</v>
      </c>
      <c r="F79" s="2">
        <v>390533</v>
      </c>
      <c r="G79" s="27">
        <v>0.10192710778800848</v>
      </c>
    </row>
    <row r="80" spans="1:7" x14ac:dyDescent="0.3">
      <c r="A80" t="s">
        <v>2227</v>
      </c>
      <c r="B80" s="2">
        <f>VLOOKUP($B$2,'Ref. DC-1980(IPUMS)'!$E$1:$BV$784,56,FALSE)</f>
        <v>435</v>
      </c>
      <c r="C80" s="27">
        <f t="shared" si="2"/>
        <v>0.11094108645753634</v>
      </c>
      <c r="D80" s="2">
        <v>898</v>
      </c>
      <c r="E80" s="301">
        <v>8.6964942862676739E-2</v>
      </c>
      <c r="F80" s="2">
        <v>195755</v>
      </c>
      <c r="G80" s="27">
        <v>5.1091049885775598E-2</v>
      </c>
    </row>
    <row r="81" spans="1:7" x14ac:dyDescent="0.3">
      <c r="A81" t="s">
        <v>2207</v>
      </c>
      <c r="B81" s="2">
        <f>VLOOKUP($B$2,'Ref. DC-1980(IPUMS)'!$E$1:$BV$784,57,FALSE)</f>
        <v>25</v>
      </c>
      <c r="C81" s="27">
        <f t="shared" si="2"/>
        <v>6.3759245090538128E-3</v>
      </c>
      <c r="D81" s="2">
        <v>84</v>
      </c>
      <c r="E81" s="301">
        <v>8.1348053457292267E-3</v>
      </c>
      <c r="F81" s="2">
        <v>41110</v>
      </c>
      <c r="G81" s="27">
        <v>1.0729498918567774E-2</v>
      </c>
    </row>
    <row r="82" spans="1:7" x14ac:dyDescent="0.3">
      <c r="A82" t="s">
        <v>2261</v>
      </c>
      <c r="B82" s="2">
        <f>VLOOKUP($B$2,'Ref. DC-1980(IPUMS)'!$E$1:$BV$784,58,FALSE)</f>
        <v>29</v>
      </c>
      <c r="C82" s="27">
        <f t="shared" si="2"/>
        <v>7.3960724305024228E-3</v>
      </c>
      <c r="D82" s="2">
        <v>111</v>
      </c>
      <c r="E82" s="301">
        <v>1.074956420685648E-2</v>
      </c>
      <c r="F82" s="2">
        <v>56433</v>
      </c>
      <c r="G82" s="27">
        <v>1.4728723241827663E-2</v>
      </c>
    </row>
    <row r="83" spans="1:7" x14ac:dyDescent="0.3">
      <c r="A83" t="s">
        <v>2228</v>
      </c>
      <c r="B83" s="2">
        <f>VLOOKUP($B$2,'Ref. DC-1980(IPUMS)'!$E$1:$BV$784,59,FALSE)</f>
        <v>56</v>
      </c>
      <c r="C83" s="27">
        <f t="shared" si="2"/>
        <v>1.428207090028054E-2</v>
      </c>
      <c r="D83" s="2">
        <v>243</v>
      </c>
      <c r="E83" s="301">
        <v>2.3532829750145264E-2</v>
      </c>
      <c r="F83" s="2">
        <v>97235</v>
      </c>
      <c r="G83" s="27">
        <v>2.537783574183745E-2</v>
      </c>
    </row>
    <row r="84" spans="1:7" x14ac:dyDescent="0.3">
      <c r="A84" t="s">
        <v>2213</v>
      </c>
      <c r="B84" s="2">
        <f>VLOOKUP($B$2,'Ref. DC-1980(IPUMS)'!$E$1:$BV$784,60,FALSE)</f>
        <v>0</v>
      </c>
      <c r="C84" s="27">
        <f t="shared" si="2"/>
        <v>0</v>
      </c>
      <c r="D84" s="2">
        <v>0</v>
      </c>
      <c r="E84" s="301">
        <v>0</v>
      </c>
      <c r="F84" s="2">
        <v>0</v>
      </c>
      <c r="G84" s="27">
        <v>0</v>
      </c>
    </row>
    <row r="85" spans="1:7" x14ac:dyDescent="0.3">
      <c r="A85" t="s">
        <v>2264</v>
      </c>
      <c r="B85" s="2">
        <f>SUM(B86:B90)</f>
        <v>506</v>
      </c>
      <c r="C85" s="27">
        <f t="shared" si="2"/>
        <v>0.12904871206324917</v>
      </c>
      <c r="D85" s="2">
        <v>1325</v>
      </c>
      <c r="E85" s="301">
        <v>0.12831687003680031</v>
      </c>
      <c r="F85" s="2">
        <v>446637</v>
      </c>
      <c r="G85" s="27">
        <v>0.11656996371910375</v>
      </c>
    </row>
    <row r="86" spans="1:7" x14ac:dyDescent="0.3">
      <c r="A86" t="s">
        <v>2227</v>
      </c>
      <c r="B86" s="2">
        <f>VLOOKUP($B$2,'Ref. DC-1980(IPUMS)'!$E$1:$BV$784,61,FALSE)</f>
        <v>321</v>
      </c>
      <c r="C86" s="27">
        <f t="shared" si="2"/>
        <v>8.1866870696250954E-2</v>
      </c>
      <c r="D86" s="2">
        <v>667</v>
      </c>
      <c r="E86" s="301">
        <v>6.4594228161921369E-2</v>
      </c>
      <c r="F86" s="2">
        <v>237048</v>
      </c>
      <c r="G86" s="27">
        <v>6.1868310864720361E-2</v>
      </c>
    </row>
    <row r="87" spans="1:7" x14ac:dyDescent="0.3">
      <c r="A87" t="s">
        <v>2207</v>
      </c>
      <c r="B87" s="2">
        <f>VLOOKUP($B$2,'Ref. DC-1980(IPUMS)'!$E$1:$BV$784,62,FALSE)</f>
        <v>82</v>
      </c>
      <c r="C87" s="27">
        <f t="shared" si="2"/>
        <v>2.0913032389696506E-2</v>
      </c>
      <c r="D87" s="2">
        <v>196</v>
      </c>
      <c r="E87" s="301">
        <v>1.8981212473368196E-2</v>
      </c>
      <c r="F87" s="2">
        <v>50566</v>
      </c>
      <c r="G87" s="27">
        <v>1.3197466366244177E-2</v>
      </c>
    </row>
    <row r="88" spans="1:7" x14ac:dyDescent="0.3">
      <c r="A88" t="s">
        <v>2261</v>
      </c>
      <c r="B88" s="2">
        <f>VLOOKUP($B$2,'Ref. DC-1980(IPUMS)'!$E$1:$BV$784,63,FALSE)</f>
        <v>80</v>
      </c>
      <c r="C88" s="27">
        <f t="shared" si="2"/>
        <v>2.04029584289722E-2</v>
      </c>
      <c r="D88" s="2">
        <v>273</v>
      </c>
      <c r="E88" s="301">
        <v>2.643811737361999E-2</v>
      </c>
      <c r="F88" s="2">
        <v>75051</v>
      </c>
      <c r="G88" s="27">
        <v>1.9587925646738752E-2</v>
      </c>
    </row>
    <row r="89" spans="1:7" x14ac:dyDescent="0.3">
      <c r="A89" t="s">
        <v>2228</v>
      </c>
      <c r="B89" s="2">
        <f>VLOOKUP($B$2,'Ref. DC-1980(IPUMS)'!$E$1:$BV$784,64,FALSE)</f>
        <v>23</v>
      </c>
      <c r="C89" s="27">
        <f t="shared" si="2"/>
        <v>5.8658505483295074E-3</v>
      </c>
      <c r="D89" s="2">
        <v>189</v>
      </c>
      <c r="E89" s="301">
        <v>1.8303312027890761E-2</v>
      </c>
      <c r="F89" s="2">
        <v>83972</v>
      </c>
      <c r="G89" s="27">
        <v>2.1916260841400467E-2</v>
      </c>
    </row>
    <row r="90" spans="1:7" x14ac:dyDescent="0.3">
      <c r="A90" t="s">
        <v>2213</v>
      </c>
      <c r="B90" s="2">
        <f>VLOOKUP($B$2,'Ref. DC-1980(IPUMS)'!$E$1:$BV$784,65,FALSE)</f>
        <v>0</v>
      </c>
      <c r="C90" s="27">
        <f t="shared" si="2"/>
        <v>0</v>
      </c>
      <c r="D90" s="2">
        <v>0</v>
      </c>
      <c r="E90" s="301">
        <v>0</v>
      </c>
      <c r="F90" s="2">
        <v>0</v>
      </c>
      <c r="G90" s="27">
        <v>0</v>
      </c>
    </row>
    <row r="91" spans="1:7" x14ac:dyDescent="0.3">
      <c r="A91" t="s">
        <v>2265</v>
      </c>
      <c r="B91" s="2">
        <f>SUM(B92:B96)</f>
        <v>1746</v>
      </c>
      <c r="C91" s="27">
        <f t="shared" si="2"/>
        <v>0.44529456771231829</v>
      </c>
      <c r="D91" s="2">
        <v>5050</v>
      </c>
      <c r="E91" s="301">
        <v>0.48905674995157855</v>
      </c>
      <c r="F91" s="2">
        <v>2442698</v>
      </c>
      <c r="G91" s="27">
        <v>0.63753163584012806</v>
      </c>
    </row>
    <row r="92" spans="1:7" x14ac:dyDescent="0.3">
      <c r="A92" t="s">
        <v>2227</v>
      </c>
      <c r="B92" s="2">
        <f>VLOOKUP($B$2,'Ref. DC-1980(IPUMS)'!$E$1:$BV$784,66,FALSE)</f>
        <v>1453</v>
      </c>
      <c r="C92" s="27">
        <f t="shared" si="2"/>
        <v>0.37056873246620758</v>
      </c>
      <c r="D92" s="2">
        <v>3441</v>
      </c>
      <c r="E92" s="301">
        <v>0.33323649041255082</v>
      </c>
      <c r="F92" s="2">
        <v>1678486</v>
      </c>
      <c r="G92" s="27">
        <v>0.43807622772637195</v>
      </c>
    </row>
    <row r="93" spans="1:7" x14ac:dyDescent="0.3">
      <c r="A93" t="s">
        <v>2207</v>
      </c>
      <c r="B93" s="2">
        <f>VLOOKUP($B$2,'Ref. DC-1980(IPUMS)'!$E$1:$BV$784,67,FALSE)</f>
        <v>169</v>
      </c>
      <c r="C93" s="27">
        <f t="shared" si="2"/>
        <v>4.3101249681203775E-2</v>
      </c>
      <c r="D93" s="2">
        <v>675</v>
      </c>
      <c r="E93" s="301">
        <v>6.5368971528181288E-2</v>
      </c>
      <c r="F93" s="2">
        <v>287092</v>
      </c>
      <c r="G93" s="27">
        <v>7.4929537911200675E-2</v>
      </c>
    </row>
    <row r="94" spans="1:7" x14ac:dyDescent="0.3">
      <c r="A94" t="s">
        <v>2261</v>
      </c>
      <c r="B94" s="2">
        <f>VLOOKUP($B$2,'Ref. DC-1980(IPUMS)'!$E$1:$BV$784,68,FALSE)</f>
        <v>109</v>
      </c>
      <c r="C94" s="27">
        <f t="shared" si="2"/>
        <v>2.7799030859474622E-2</v>
      </c>
      <c r="D94" s="2">
        <v>732</v>
      </c>
      <c r="E94" s="301">
        <v>7.0889018012783259E-2</v>
      </c>
      <c r="F94" s="2">
        <v>323081</v>
      </c>
      <c r="G94" s="27">
        <v>8.4322482123809175E-2</v>
      </c>
    </row>
    <row r="95" spans="1:7" x14ac:dyDescent="0.3">
      <c r="A95" t="s">
        <v>2228</v>
      </c>
      <c r="B95" s="2">
        <f>VLOOKUP($B$2,'Ref. DC-1980(IPUMS)'!$E$1:$BV$784,69,FALSE)</f>
        <v>15</v>
      </c>
      <c r="C95" s="27">
        <f t="shared" si="2"/>
        <v>3.8255547054322878E-3</v>
      </c>
      <c r="D95" s="2">
        <v>202</v>
      </c>
      <c r="E95" s="301">
        <v>1.9562269998063143E-2</v>
      </c>
      <c r="F95" s="2">
        <v>154039</v>
      </c>
      <c r="G95" s="27">
        <v>4.0203388078746329E-2</v>
      </c>
    </row>
    <row r="96" spans="1:7" x14ac:dyDescent="0.3">
      <c r="A96" t="s">
        <v>2213</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2271</v>
      </c>
      <c r="B98" s="122"/>
      <c r="C98" s="122"/>
      <c r="D98" s="303"/>
      <c r="E98" s="303"/>
      <c r="F98" s="211"/>
      <c r="G98" s="211"/>
    </row>
    <row r="99" spans="1:7" x14ac:dyDescent="0.3">
      <c r="A99" t="s">
        <v>1415</v>
      </c>
      <c r="B99" s="2">
        <f>VLOOKUP($B$2,'Ref. DC-1980(IPUMS)'!$E$1:$BV$784,18,FALSE)</f>
        <v>216</v>
      </c>
      <c r="C99" s="27"/>
      <c r="D99" s="2">
        <v>219</v>
      </c>
      <c r="E99" t="s">
        <v>172</v>
      </c>
      <c r="F99" s="2">
        <v>283</v>
      </c>
      <c r="G99" s="27"/>
    </row>
    <row r="100" spans="1:7" x14ac:dyDescent="0.3">
      <c r="A100" s="18"/>
      <c r="B100" s="18"/>
      <c r="C100" s="18"/>
      <c r="D100" s="18"/>
      <c r="E100" s="18"/>
      <c r="F100" s="18"/>
      <c r="G100" s="18"/>
    </row>
    <row r="101" spans="1:7" x14ac:dyDescent="0.3">
      <c r="A101" s="211" t="s">
        <v>2272</v>
      </c>
      <c r="B101" s="122"/>
      <c r="C101" s="211"/>
      <c r="D101" s="303"/>
      <c r="E101" s="303"/>
      <c r="F101" s="211"/>
      <c r="G101" s="211"/>
    </row>
    <row r="102" spans="1:7" x14ac:dyDescent="0.3">
      <c r="A102" t="s">
        <v>2240</v>
      </c>
      <c r="B102" s="2">
        <f>B62</f>
        <v>296</v>
      </c>
      <c r="C102" s="27"/>
      <c r="D102" s="2">
        <v>389</v>
      </c>
      <c r="E102" t="s">
        <v>172</v>
      </c>
      <c r="F102" s="2">
        <v>411</v>
      </c>
      <c r="G102" s="27"/>
    </row>
    <row r="103" spans="1:7" x14ac:dyDescent="0.3">
      <c r="A103" t="s">
        <v>2241</v>
      </c>
      <c r="B103" s="2">
        <f>B63</f>
        <v>76</v>
      </c>
      <c r="C103" s="27"/>
      <c r="D103" s="2">
        <v>88</v>
      </c>
      <c r="E103" t="s">
        <v>172</v>
      </c>
      <c r="F103" s="2">
        <v>98</v>
      </c>
      <c r="G103" s="27"/>
    </row>
    <row r="104" spans="1:7" x14ac:dyDescent="0.3">
      <c r="A104" s="18"/>
      <c r="B104" s="18"/>
      <c r="C104" s="18"/>
      <c r="D104" s="18"/>
      <c r="E104" s="18"/>
      <c r="F104" s="18"/>
      <c r="G104" s="18"/>
    </row>
    <row r="109" spans="1:7" x14ac:dyDescent="0.3">
      <c r="A109" s="31" t="s">
        <v>2242</v>
      </c>
    </row>
    <row r="110" spans="1:7" ht="24" x14ac:dyDescent="0.3">
      <c r="A110" s="32" t="s">
        <v>2243</v>
      </c>
    </row>
    <row r="111" spans="1:7" x14ac:dyDescent="0.3">
      <c r="A111" s="33" t="s">
        <v>2244</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2557</v>
      </c>
      <c r="B1" s="1" t="s">
        <v>2276</v>
      </c>
      <c r="C1" s="1" t="s">
        <v>2558</v>
      </c>
      <c r="D1" s="1" t="s">
        <v>2559</v>
      </c>
      <c r="E1" s="297" t="s">
        <v>2560</v>
      </c>
      <c r="F1" s="1" t="s">
        <v>2561</v>
      </c>
      <c r="G1" s="1" t="s">
        <v>2562</v>
      </c>
      <c r="H1" s="298" t="s">
        <v>2563</v>
      </c>
      <c r="I1" s="298" t="s">
        <v>2564</v>
      </c>
      <c r="J1" s="298" t="s">
        <v>2565</v>
      </c>
      <c r="K1" s="298" t="s">
        <v>2566</v>
      </c>
      <c r="L1" s="298" t="s">
        <v>2567</v>
      </c>
      <c r="M1" s="298" t="s">
        <v>2568</v>
      </c>
      <c r="N1" s="298" t="s">
        <v>2569</v>
      </c>
      <c r="O1" s="298" t="s">
        <v>2570</v>
      </c>
      <c r="P1" s="298" t="s">
        <v>2571</v>
      </c>
      <c r="Q1" s="298" t="s">
        <v>2572</v>
      </c>
      <c r="R1" s="298" t="s">
        <v>2573</v>
      </c>
      <c r="S1" s="298" t="s">
        <v>2574</v>
      </c>
      <c r="T1" s="1" t="s">
        <v>2575</v>
      </c>
      <c r="U1" s="1" t="s">
        <v>2576</v>
      </c>
      <c r="V1" s="298" t="s">
        <v>2577</v>
      </c>
      <c r="W1" s="298" t="s">
        <v>2578</v>
      </c>
      <c r="X1" s="298" t="s">
        <v>2579</v>
      </c>
      <c r="Y1" s="298" t="s">
        <v>2580</v>
      </c>
      <c r="Z1" s="298" t="s">
        <v>2581</v>
      </c>
      <c r="AA1" s="298" t="s">
        <v>2582</v>
      </c>
      <c r="AB1" s="298" t="s">
        <v>2583</v>
      </c>
      <c r="AC1" s="298" t="s">
        <v>2584</v>
      </c>
      <c r="AD1" s="298" t="s">
        <v>2585</v>
      </c>
      <c r="AE1" s="298" t="s">
        <v>2586</v>
      </c>
      <c r="AF1" s="298" t="s">
        <v>2587</v>
      </c>
      <c r="AG1" s="298" t="s">
        <v>2588</v>
      </c>
      <c r="AH1" s="298" t="s">
        <v>2589</v>
      </c>
      <c r="AI1" s="298" t="s">
        <v>2590</v>
      </c>
      <c r="AJ1" s="298" t="s">
        <v>2591</v>
      </c>
      <c r="AK1" s="298" t="s">
        <v>2592</v>
      </c>
      <c r="AL1" s="298" t="s">
        <v>2593</v>
      </c>
      <c r="AM1" s="298" t="s">
        <v>2594</v>
      </c>
      <c r="AN1" s="298" t="s">
        <v>2595</v>
      </c>
      <c r="AO1" s="298" t="s">
        <v>2596</v>
      </c>
      <c r="AP1" s="298" t="s">
        <v>2597</v>
      </c>
      <c r="AQ1" s="298" t="s">
        <v>2598</v>
      </c>
      <c r="AR1" s="298" t="s">
        <v>2599</v>
      </c>
      <c r="AS1" s="298" t="s">
        <v>2600</v>
      </c>
      <c r="AT1" s="298" t="s">
        <v>2601</v>
      </c>
      <c r="AU1" s="298" t="s">
        <v>2602</v>
      </c>
      <c r="AV1" s="298" t="s">
        <v>2603</v>
      </c>
      <c r="AW1" s="298" t="s">
        <v>2604</v>
      </c>
      <c r="AX1" s="298" t="s">
        <v>2605</v>
      </c>
      <c r="AY1" s="298" t="s">
        <v>2606</v>
      </c>
      <c r="AZ1" s="298" t="s">
        <v>2607</v>
      </c>
      <c r="BA1" s="298" t="s">
        <v>2608</v>
      </c>
      <c r="BB1" s="298" t="s">
        <v>2609</v>
      </c>
      <c r="BC1" s="298" t="s">
        <v>2610</v>
      </c>
      <c r="BD1" s="298" t="s">
        <v>2611</v>
      </c>
      <c r="BE1" s="298" t="s">
        <v>2612</v>
      </c>
      <c r="BF1" s="298" t="s">
        <v>2613</v>
      </c>
      <c r="BG1" s="298" t="s">
        <v>2614</v>
      </c>
      <c r="BH1" s="298" t="s">
        <v>2615</v>
      </c>
      <c r="BI1" s="298" t="s">
        <v>2616</v>
      </c>
      <c r="BJ1" s="298" t="s">
        <v>2617</v>
      </c>
      <c r="BK1" s="298" t="s">
        <v>2618</v>
      </c>
      <c r="BL1" s="298" t="s">
        <v>2619</v>
      </c>
      <c r="BM1" s="298" t="s">
        <v>2620</v>
      </c>
      <c r="BN1" s="298" t="s">
        <v>2621</v>
      </c>
      <c r="BO1" s="298" t="s">
        <v>2622</v>
      </c>
      <c r="BP1" s="298" t="s">
        <v>2623</v>
      </c>
      <c r="BQ1" s="298" t="s">
        <v>2624</v>
      </c>
      <c r="BR1" s="298" t="s">
        <v>2625</v>
      </c>
      <c r="BS1" s="298" t="s">
        <v>2626</v>
      </c>
      <c r="BT1" s="298" t="s">
        <v>2627</v>
      </c>
      <c r="BU1" s="298" t="s">
        <v>2628</v>
      </c>
      <c r="BV1" s="298" t="s">
        <v>2629</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2630</v>
      </c>
      <c r="B3" s="1" t="s">
        <v>2631</v>
      </c>
      <c r="C3" s="1" t="s">
        <v>2632</v>
      </c>
      <c r="D3" s="1" t="s">
        <v>2633</v>
      </c>
      <c r="E3" s="1" t="s">
        <v>2634</v>
      </c>
      <c r="F3" s="1" t="s">
        <v>2635</v>
      </c>
      <c r="G3" s="1" t="s">
        <v>2636</v>
      </c>
      <c r="H3" s="299" t="s">
        <v>2637</v>
      </c>
      <c r="I3" s="299" t="s">
        <v>2638</v>
      </c>
      <c r="J3" s="299" t="s">
        <v>2639</v>
      </c>
      <c r="K3" s="299" t="s">
        <v>2248</v>
      </c>
      <c r="L3" s="299" t="s">
        <v>2640</v>
      </c>
      <c r="M3" s="299" t="s">
        <v>2641</v>
      </c>
      <c r="N3" s="299" t="s">
        <v>2642</v>
      </c>
      <c r="O3" s="299" t="s">
        <v>2643</v>
      </c>
      <c r="P3" s="299">
        <v>1</v>
      </c>
      <c r="Q3" s="300">
        <v>44601</v>
      </c>
      <c r="R3" s="299" t="s">
        <v>2644</v>
      </c>
      <c r="S3" s="299" t="s">
        <v>2645</v>
      </c>
      <c r="T3" s="1" t="s">
        <v>2633</v>
      </c>
      <c r="U3" s="1">
        <v>1</v>
      </c>
      <c r="V3" s="299" t="s">
        <v>2188</v>
      </c>
      <c r="W3" s="299" t="s">
        <v>2646</v>
      </c>
      <c r="X3" s="299" t="s">
        <v>2647</v>
      </c>
      <c r="Y3" s="299" t="s">
        <v>2648</v>
      </c>
      <c r="Z3" s="299" t="s">
        <v>2649</v>
      </c>
      <c r="AA3" s="299" t="s">
        <v>2650</v>
      </c>
      <c r="AB3" s="299" t="s">
        <v>2651</v>
      </c>
      <c r="AC3" s="299" t="s">
        <v>2652</v>
      </c>
      <c r="AD3" s="299" t="s">
        <v>2653</v>
      </c>
      <c r="AE3" s="299" t="s">
        <v>2654</v>
      </c>
      <c r="AF3" s="299" t="s">
        <v>2655</v>
      </c>
      <c r="AG3" s="299" t="s">
        <v>2656</v>
      </c>
      <c r="AH3" s="299" t="s">
        <v>2657</v>
      </c>
      <c r="AI3" s="299" t="s">
        <v>2658</v>
      </c>
      <c r="AJ3" s="299" t="s">
        <v>2659</v>
      </c>
      <c r="AK3" s="299" t="s">
        <v>2660</v>
      </c>
      <c r="AL3" s="299" t="s">
        <v>2661</v>
      </c>
      <c r="AM3" s="299" t="s">
        <v>2662</v>
      </c>
      <c r="AN3" s="299" t="s">
        <v>2663</v>
      </c>
      <c r="AO3" s="299" t="s">
        <v>2664</v>
      </c>
      <c r="AP3" s="299" t="s">
        <v>2665</v>
      </c>
      <c r="AQ3" s="299" t="s">
        <v>2666</v>
      </c>
      <c r="AR3" s="299" t="s">
        <v>2667</v>
      </c>
      <c r="AS3" s="299" t="s">
        <v>2668</v>
      </c>
      <c r="AT3" s="299" t="s">
        <v>2669</v>
      </c>
      <c r="AU3" s="299" t="s">
        <v>2670</v>
      </c>
      <c r="AV3" s="299" t="s">
        <v>2671</v>
      </c>
      <c r="AW3" s="299" t="s">
        <v>2672</v>
      </c>
      <c r="AX3" s="299" t="s">
        <v>2646</v>
      </c>
      <c r="AY3" s="299" t="s">
        <v>2647</v>
      </c>
      <c r="AZ3" s="299" t="s">
        <v>2648</v>
      </c>
      <c r="BA3" s="299" t="s">
        <v>2649</v>
      </c>
      <c r="BB3" s="299" t="s">
        <v>2650</v>
      </c>
      <c r="BC3" s="299" t="s">
        <v>2651</v>
      </c>
      <c r="BD3" s="299" t="s">
        <v>2652</v>
      </c>
      <c r="BE3" s="299" t="s">
        <v>2653</v>
      </c>
      <c r="BF3" s="299" t="s">
        <v>2654</v>
      </c>
      <c r="BG3" s="299" t="s">
        <v>2655</v>
      </c>
      <c r="BH3" s="299" t="s">
        <v>2656</v>
      </c>
      <c r="BI3" s="299" t="s">
        <v>2657</v>
      </c>
      <c r="BJ3" s="299" t="s">
        <v>2658</v>
      </c>
      <c r="BK3" s="299" t="s">
        <v>2659</v>
      </c>
      <c r="BL3" s="299" t="s">
        <v>2660</v>
      </c>
      <c r="BM3" s="299" t="s">
        <v>2661</v>
      </c>
      <c r="BN3" s="299" t="s">
        <v>2662</v>
      </c>
      <c r="BO3" s="299" t="s">
        <v>2663</v>
      </c>
      <c r="BP3" s="299" t="s">
        <v>2664</v>
      </c>
      <c r="BQ3" s="299" t="s">
        <v>2665</v>
      </c>
      <c r="BR3" s="299" t="s">
        <v>2666</v>
      </c>
      <c r="BS3" s="299" t="s">
        <v>2667</v>
      </c>
      <c r="BT3" s="299" t="s">
        <v>2668</v>
      </c>
      <c r="BU3" s="299" t="s">
        <v>2669</v>
      </c>
      <c r="BV3" s="299" t="s">
        <v>2670</v>
      </c>
    </row>
    <row r="4" spans="1:74" x14ac:dyDescent="0.3">
      <c r="A4" t="s">
        <v>2673</v>
      </c>
      <c r="B4">
        <v>1980</v>
      </c>
      <c r="C4" t="s">
        <v>173</v>
      </c>
      <c r="D4" t="s">
        <v>336</v>
      </c>
      <c r="E4" t="str">
        <f>_xlfn.CONCAT("City of ",D4)</f>
        <v>City of Adelanto</v>
      </c>
      <c r="F4">
        <v>3</v>
      </c>
      <c r="G4" t="s">
        <v>2674</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2675</v>
      </c>
      <c r="B5">
        <v>1980</v>
      </c>
      <c r="C5" t="s">
        <v>173</v>
      </c>
      <c r="D5" t="s">
        <v>340</v>
      </c>
      <c r="E5" t="str">
        <f t="shared" ref="E5:E68" si="0">_xlfn.CONCAT("City of ",D5)</f>
        <v>City of Alameda</v>
      </c>
      <c r="F5">
        <v>10</v>
      </c>
      <c r="G5" t="s">
        <v>2676</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2677</v>
      </c>
      <c r="B6">
        <v>1980</v>
      </c>
      <c r="C6" t="s">
        <v>173</v>
      </c>
      <c r="D6" t="s">
        <v>2678</v>
      </c>
      <c r="E6" t="str">
        <f t="shared" si="0"/>
        <v>City of Alamo</v>
      </c>
      <c r="F6">
        <v>15</v>
      </c>
      <c r="G6" t="s">
        <v>2679</v>
      </c>
      <c r="H6">
        <v>8505</v>
      </c>
      <c r="I6">
        <v>8505</v>
      </c>
      <c r="J6">
        <v>0</v>
      </c>
      <c r="K6">
        <v>0</v>
      </c>
      <c r="L6">
        <v>2787</v>
      </c>
      <c r="M6">
        <v>2544</v>
      </c>
      <c r="N6">
        <v>243</v>
      </c>
      <c r="O6">
        <v>200100</v>
      </c>
      <c r="P6">
        <v>2788</v>
      </c>
      <c r="Q6">
        <v>93</v>
      </c>
      <c r="R6">
        <v>26</v>
      </c>
      <c r="S6">
        <v>1</v>
      </c>
      <c r="T6" t="s">
        <v>2678</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2680</v>
      </c>
      <c r="B7">
        <v>1980</v>
      </c>
      <c r="C7" t="s">
        <v>173</v>
      </c>
      <c r="D7" t="s">
        <v>342</v>
      </c>
      <c r="E7" t="str">
        <f t="shared" si="0"/>
        <v>City of Albany</v>
      </c>
      <c r="F7">
        <v>20</v>
      </c>
      <c r="G7" t="s">
        <v>2681</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2682</v>
      </c>
      <c r="B8">
        <v>1980</v>
      </c>
      <c r="C8" t="s">
        <v>173</v>
      </c>
      <c r="D8" t="s">
        <v>344</v>
      </c>
      <c r="E8" t="str">
        <f t="shared" si="0"/>
        <v>City of Alhambra</v>
      </c>
      <c r="F8">
        <v>25</v>
      </c>
      <c r="G8" t="s">
        <v>2683</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2684</v>
      </c>
      <c r="B9">
        <v>1980</v>
      </c>
      <c r="C9" t="s">
        <v>173</v>
      </c>
      <c r="D9" t="s">
        <v>2685</v>
      </c>
      <c r="E9" t="str">
        <f t="shared" si="0"/>
        <v>City of Alondra Park</v>
      </c>
      <c r="F9">
        <v>32</v>
      </c>
      <c r="G9" t="s">
        <v>2686</v>
      </c>
      <c r="H9">
        <v>12096</v>
      </c>
      <c r="I9">
        <v>12096</v>
      </c>
      <c r="J9">
        <v>0</v>
      </c>
      <c r="K9">
        <v>0</v>
      </c>
      <c r="L9">
        <v>4398</v>
      </c>
      <c r="M9">
        <v>2681</v>
      </c>
      <c r="N9">
        <v>1717</v>
      </c>
      <c r="O9">
        <v>85800</v>
      </c>
      <c r="P9">
        <v>3324</v>
      </c>
      <c r="Q9">
        <v>329</v>
      </c>
      <c r="R9">
        <v>845</v>
      </c>
      <c r="S9">
        <v>26</v>
      </c>
      <c r="T9" t="s">
        <v>2685</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2687</v>
      </c>
      <c r="B10">
        <v>1980</v>
      </c>
      <c r="C10" t="s">
        <v>173</v>
      </c>
      <c r="D10" t="s">
        <v>1259</v>
      </c>
      <c r="E10" t="str">
        <f t="shared" si="0"/>
        <v>City of Alpine</v>
      </c>
      <c r="F10">
        <v>35</v>
      </c>
      <c r="G10" t="s">
        <v>2688</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2689</v>
      </c>
      <c r="B11">
        <v>1980</v>
      </c>
      <c r="C11" t="s">
        <v>173</v>
      </c>
      <c r="D11" t="s">
        <v>2690</v>
      </c>
      <c r="E11" t="str">
        <f t="shared" si="0"/>
        <v>City of Altadena</v>
      </c>
      <c r="F11">
        <v>40</v>
      </c>
      <c r="G11" t="s">
        <v>2691</v>
      </c>
      <c r="H11">
        <v>40510</v>
      </c>
      <c r="I11">
        <v>40510</v>
      </c>
      <c r="J11">
        <v>0</v>
      </c>
      <c r="K11">
        <v>0</v>
      </c>
      <c r="L11">
        <v>14018</v>
      </c>
      <c r="M11">
        <v>10553</v>
      </c>
      <c r="N11">
        <v>3465</v>
      </c>
      <c r="O11">
        <v>80500</v>
      </c>
      <c r="P11">
        <v>13535</v>
      </c>
      <c r="Q11">
        <v>715</v>
      </c>
      <c r="R11">
        <v>292</v>
      </c>
      <c r="S11">
        <v>7</v>
      </c>
      <c r="T11" t="s">
        <v>2690</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2692</v>
      </c>
      <c r="B12">
        <v>1980</v>
      </c>
      <c r="C12" t="s">
        <v>173</v>
      </c>
      <c r="D12" t="s">
        <v>2693</v>
      </c>
      <c r="E12" t="str">
        <f t="shared" si="0"/>
        <v>City of Alta Hill</v>
      </c>
      <c r="F12">
        <v>45</v>
      </c>
      <c r="G12" t="s">
        <v>2694</v>
      </c>
      <c r="H12">
        <v>1229</v>
      </c>
      <c r="I12">
        <v>0</v>
      </c>
      <c r="J12">
        <v>0</v>
      </c>
      <c r="K12">
        <v>1229</v>
      </c>
      <c r="L12">
        <v>509</v>
      </c>
      <c r="M12">
        <v>386</v>
      </c>
      <c r="N12">
        <v>123</v>
      </c>
      <c r="O12">
        <v>61900</v>
      </c>
      <c r="P12">
        <v>465</v>
      </c>
      <c r="Q12">
        <v>46</v>
      </c>
      <c r="R12">
        <v>2</v>
      </c>
      <c r="S12">
        <v>23</v>
      </c>
      <c r="T12" t="s">
        <v>2693</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2695</v>
      </c>
      <c r="B13">
        <v>1980</v>
      </c>
      <c r="C13" t="s">
        <v>173</v>
      </c>
      <c r="D13" t="s">
        <v>2696</v>
      </c>
      <c r="E13" t="str">
        <f t="shared" si="0"/>
        <v>City of Alta Sierra</v>
      </c>
      <c r="F13">
        <v>47</v>
      </c>
      <c r="G13" t="s">
        <v>2697</v>
      </c>
      <c r="H13">
        <v>2168</v>
      </c>
      <c r="I13">
        <v>0</v>
      </c>
      <c r="J13">
        <v>0</v>
      </c>
      <c r="K13">
        <v>2168</v>
      </c>
      <c r="L13">
        <v>818</v>
      </c>
      <c r="M13">
        <v>743</v>
      </c>
      <c r="N13">
        <v>75</v>
      </c>
      <c r="O13">
        <v>96700</v>
      </c>
      <c r="P13">
        <v>956</v>
      </c>
      <c r="Q13">
        <v>3</v>
      </c>
      <c r="R13">
        <v>0</v>
      </c>
      <c r="S13">
        <v>5</v>
      </c>
      <c r="T13" t="s">
        <v>2696</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2698</v>
      </c>
      <c r="B14">
        <v>1980</v>
      </c>
      <c r="C14" t="s">
        <v>173</v>
      </c>
      <c r="D14" t="s">
        <v>348</v>
      </c>
      <c r="E14" t="str">
        <f t="shared" si="0"/>
        <v>City of Alturas</v>
      </c>
      <c r="F14">
        <v>50</v>
      </c>
      <c r="G14" t="s">
        <v>2699</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2700</v>
      </c>
      <c r="B15">
        <v>1980</v>
      </c>
      <c r="C15" t="s">
        <v>173</v>
      </c>
      <c r="D15" t="s">
        <v>2701</v>
      </c>
      <c r="E15" t="str">
        <f t="shared" si="0"/>
        <v>City of Alum Rock</v>
      </c>
      <c r="F15">
        <v>55</v>
      </c>
      <c r="G15" t="s">
        <v>2702</v>
      </c>
      <c r="H15">
        <v>16890</v>
      </c>
      <c r="I15">
        <v>16890</v>
      </c>
      <c r="J15">
        <v>0</v>
      </c>
      <c r="K15">
        <v>0</v>
      </c>
      <c r="L15">
        <v>5441</v>
      </c>
      <c r="M15">
        <v>4474</v>
      </c>
      <c r="N15">
        <v>967</v>
      </c>
      <c r="O15">
        <v>79100</v>
      </c>
      <c r="P15">
        <v>5169</v>
      </c>
      <c r="Q15">
        <v>365</v>
      </c>
      <c r="R15">
        <v>19</v>
      </c>
      <c r="S15">
        <v>5</v>
      </c>
      <c r="T15" t="s">
        <v>2701</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2703</v>
      </c>
      <c r="B16">
        <v>1980</v>
      </c>
      <c r="C16" t="s">
        <v>173</v>
      </c>
      <c r="D16" t="s">
        <v>350</v>
      </c>
      <c r="E16" t="str">
        <f t="shared" si="0"/>
        <v>City of Amador City</v>
      </c>
      <c r="F16">
        <v>65</v>
      </c>
      <c r="G16" t="s">
        <v>2704</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2705</v>
      </c>
      <c r="B17">
        <v>1980</v>
      </c>
      <c r="C17" t="s">
        <v>173</v>
      </c>
      <c r="D17" t="s">
        <v>352</v>
      </c>
      <c r="E17" t="str">
        <f t="shared" si="0"/>
        <v>City of American Canyon</v>
      </c>
      <c r="F17">
        <v>67</v>
      </c>
      <c r="G17" t="s">
        <v>2706</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2707</v>
      </c>
      <c r="B18">
        <v>1980</v>
      </c>
      <c r="C18" t="s">
        <v>173</v>
      </c>
      <c r="D18" t="s">
        <v>354</v>
      </c>
      <c r="E18" t="str">
        <f t="shared" si="0"/>
        <v>City of Anaheim</v>
      </c>
      <c r="F18">
        <v>70</v>
      </c>
      <c r="G18" t="s">
        <v>2708</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2709</v>
      </c>
      <c r="B19">
        <v>1980</v>
      </c>
      <c r="C19" t="s">
        <v>173</v>
      </c>
      <c r="D19" t="s">
        <v>356</v>
      </c>
      <c r="E19" t="str">
        <f t="shared" si="0"/>
        <v>City of Anderson</v>
      </c>
      <c r="F19">
        <v>75</v>
      </c>
      <c r="G19" t="s">
        <v>2710</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2711</v>
      </c>
      <c r="B20">
        <v>1980</v>
      </c>
      <c r="C20" t="s">
        <v>173</v>
      </c>
      <c r="D20" t="s">
        <v>358</v>
      </c>
      <c r="E20" t="str">
        <f t="shared" si="0"/>
        <v>City of Angels</v>
      </c>
      <c r="F20">
        <v>80</v>
      </c>
      <c r="G20" t="s">
        <v>2712</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2713</v>
      </c>
      <c r="B21">
        <v>1980</v>
      </c>
      <c r="C21" t="s">
        <v>173</v>
      </c>
      <c r="D21" t="s">
        <v>2714</v>
      </c>
      <c r="E21" t="str">
        <f t="shared" si="0"/>
        <v>City of Angwin</v>
      </c>
      <c r="F21">
        <v>83</v>
      </c>
      <c r="G21" t="s">
        <v>2715</v>
      </c>
      <c r="H21">
        <v>3526</v>
      </c>
      <c r="I21">
        <v>0</v>
      </c>
      <c r="J21">
        <v>3526</v>
      </c>
      <c r="K21">
        <v>0</v>
      </c>
      <c r="L21">
        <v>782</v>
      </c>
      <c r="M21">
        <v>402</v>
      </c>
      <c r="N21">
        <v>380</v>
      </c>
      <c r="O21">
        <v>84400</v>
      </c>
      <c r="P21">
        <v>567</v>
      </c>
      <c r="Q21">
        <v>193</v>
      </c>
      <c r="R21">
        <v>6</v>
      </c>
      <c r="S21">
        <v>43</v>
      </c>
      <c r="T21" t="s">
        <v>2714</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2716</v>
      </c>
      <c r="B22">
        <v>1980</v>
      </c>
      <c r="C22" t="s">
        <v>173</v>
      </c>
      <c r="D22" t="s">
        <v>360</v>
      </c>
      <c r="E22" t="str">
        <f t="shared" si="0"/>
        <v>City of Antioch</v>
      </c>
      <c r="F22">
        <v>85</v>
      </c>
      <c r="G22" t="s">
        <v>2717</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2718</v>
      </c>
      <c r="B23">
        <v>1980</v>
      </c>
      <c r="C23" t="s">
        <v>173</v>
      </c>
      <c r="D23" t="s">
        <v>362</v>
      </c>
      <c r="E23" t="str">
        <f t="shared" si="0"/>
        <v>City of Apple Valley</v>
      </c>
      <c r="F23">
        <v>90</v>
      </c>
      <c r="G23" t="s">
        <v>2719</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2720</v>
      </c>
      <c r="B24">
        <v>1980</v>
      </c>
      <c r="C24" t="s">
        <v>173</v>
      </c>
      <c r="D24" t="s">
        <v>2721</v>
      </c>
      <c r="E24" t="str">
        <f t="shared" si="0"/>
        <v>City of Aptos</v>
      </c>
      <c r="F24">
        <v>92</v>
      </c>
      <c r="G24" t="s">
        <v>2722</v>
      </c>
      <c r="H24">
        <v>7039</v>
      </c>
      <c r="I24">
        <v>7039</v>
      </c>
      <c r="J24">
        <v>0</v>
      </c>
      <c r="K24">
        <v>0</v>
      </c>
      <c r="L24">
        <v>2885</v>
      </c>
      <c r="M24">
        <v>1892</v>
      </c>
      <c r="N24">
        <v>993</v>
      </c>
      <c r="O24">
        <v>106300</v>
      </c>
      <c r="P24">
        <v>2522</v>
      </c>
      <c r="Q24">
        <v>354</v>
      </c>
      <c r="R24">
        <v>98</v>
      </c>
      <c r="S24">
        <v>281</v>
      </c>
      <c r="T24" t="s">
        <v>2721</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2723</v>
      </c>
      <c r="B25">
        <v>1980</v>
      </c>
      <c r="C25" t="s">
        <v>173</v>
      </c>
      <c r="D25" t="s">
        <v>2724</v>
      </c>
      <c r="E25" t="str">
        <f t="shared" si="0"/>
        <v>City of Arbuckle</v>
      </c>
      <c r="F25">
        <v>100</v>
      </c>
      <c r="G25" t="s">
        <v>2725</v>
      </c>
      <c r="H25">
        <v>1306</v>
      </c>
      <c r="I25">
        <v>0</v>
      </c>
      <c r="J25">
        <v>0</v>
      </c>
      <c r="K25">
        <v>1306</v>
      </c>
      <c r="L25">
        <v>453</v>
      </c>
      <c r="M25">
        <v>265</v>
      </c>
      <c r="N25">
        <v>188</v>
      </c>
      <c r="O25">
        <v>43500</v>
      </c>
      <c r="P25">
        <v>377</v>
      </c>
      <c r="Q25">
        <v>47</v>
      </c>
      <c r="R25">
        <v>36</v>
      </c>
      <c r="S25">
        <v>19</v>
      </c>
      <c r="T25" t="s">
        <v>2724</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2726</v>
      </c>
      <c r="B26">
        <v>1980</v>
      </c>
      <c r="C26" t="s">
        <v>173</v>
      </c>
      <c r="D26" t="s">
        <v>364</v>
      </c>
      <c r="E26" t="str">
        <f t="shared" si="0"/>
        <v>City of Arcadia</v>
      </c>
      <c r="F26">
        <v>105</v>
      </c>
      <c r="G26" t="s">
        <v>2727</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2728</v>
      </c>
      <c r="B27">
        <v>1980</v>
      </c>
      <c r="C27" t="s">
        <v>173</v>
      </c>
      <c r="D27" t="s">
        <v>366</v>
      </c>
      <c r="E27" t="str">
        <f t="shared" si="0"/>
        <v>City of Arcata</v>
      </c>
      <c r="F27">
        <v>110</v>
      </c>
      <c r="G27" t="s">
        <v>2729</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2730</v>
      </c>
      <c r="B28">
        <v>1980</v>
      </c>
      <c r="C28" t="s">
        <v>173</v>
      </c>
      <c r="D28" t="s">
        <v>2731</v>
      </c>
      <c r="E28" t="str">
        <f t="shared" si="0"/>
        <v>City of Arden-Arcade</v>
      </c>
      <c r="F28">
        <v>115</v>
      </c>
      <c r="G28" t="s">
        <v>2732</v>
      </c>
      <c r="H28">
        <v>87570</v>
      </c>
      <c r="I28">
        <v>87570</v>
      </c>
      <c r="J28">
        <v>0</v>
      </c>
      <c r="K28">
        <v>0</v>
      </c>
      <c r="L28">
        <v>38681</v>
      </c>
      <c r="M28">
        <v>19298</v>
      </c>
      <c r="N28">
        <v>19383</v>
      </c>
      <c r="O28">
        <v>75100</v>
      </c>
      <c r="P28">
        <v>26989</v>
      </c>
      <c r="Q28">
        <v>4010</v>
      </c>
      <c r="R28">
        <v>9811</v>
      </c>
      <c r="S28">
        <v>408</v>
      </c>
      <c r="T28" t="s">
        <v>2731</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2733</v>
      </c>
      <c r="B29">
        <v>1980</v>
      </c>
      <c r="C29" t="s">
        <v>173</v>
      </c>
      <c r="D29" t="s">
        <v>2734</v>
      </c>
      <c r="E29" t="str">
        <f t="shared" si="0"/>
        <v>City of Armona</v>
      </c>
      <c r="F29">
        <v>125</v>
      </c>
      <c r="G29" t="s">
        <v>2735</v>
      </c>
      <c r="H29">
        <v>2644</v>
      </c>
      <c r="I29">
        <v>0</v>
      </c>
      <c r="J29">
        <v>2644</v>
      </c>
      <c r="K29">
        <v>0</v>
      </c>
      <c r="L29">
        <v>837</v>
      </c>
      <c r="M29">
        <v>545</v>
      </c>
      <c r="N29">
        <v>292</v>
      </c>
      <c r="O29">
        <v>41100</v>
      </c>
      <c r="P29">
        <v>821</v>
      </c>
      <c r="Q29">
        <v>36</v>
      </c>
      <c r="R29">
        <v>2</v>
      </c>
      <c r="S29">
        <v>9</v>
      </c>
      <c r="T29" t="s">
        <v>2734</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2736</v>
      </c>
      <c r="B30">
        <v>1980</v>
      </c>
      <c r="C30" t="s">
        <v>173</v>
      </c>
      <c r="D30" t="s">
        <v>2737</v>
      </c>
      <c r="E30" t="str">
        <f t="shared" si="0"/>
        <v>City of Arnold</v>
      </c>
      <c r="F30">
        <v>128</v>
      </c>
      <c r="G30" t="s">
        <v>2738</v>
      </c>
      <c r="H30">
        <v>2385</v>
      </c>
      <c r="I30">
        <v>0</v>
      </c>
      <c r="J30">
        <v>0</v>
      </c>
      <c r="K30">
        <v>2385</v>
      </c>
      <c r="L30">
        <v>932</v>
      </c>
      <c r="M30">
        <v>775</v>
      </c>
      <c r="N30">
        <v>157</v>
      </c>
      <c r="O30">
        <v>75200</v>
      </c>
      <c r="P30">
        <v>2440</v>
      </c>
      <c r="Q30">
        <v>34</v>
      </c>
      <c r="R30">
        <v>12</v>
      </c>
      <c r="S30">
        <v>90</v>
      </c>
      <c r="T30" t="s">
        <v>2737</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2739</v>
      </c>
      <c r="B31">
        <v>1980</v>
      </c>
      <c r="C31" t="s">
        <v>173</v>
      </c>
      <c r="D31" t="s">
        <v>368</v>
      </c>
      <c r="E31" t="str">
        <f t="shared" si="0"/>
        <v>City of Arroyo Grande</v>
      </c>
      <c r="F31">
        <v>130</v>
      </c>
      <c r="G31" t="s">
        <v>2740</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2741</v>
      </c>
      <c r="B32">
        <v>1980</v>
      </c>
      <c r="C32" t="s">
        <v>173</v>
      </c>
      <c r="D32" t="s">
        <v>370</v>
      </c>
      <c r="E32" t="str">
        <f t="shared" si="0"/>
        <v>City of Artesia</v>
      </c>
      <c r="F32">
        <v>135</v>
      </c>
      <c r="G32" t="s">
        <v>2742</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2743</v>
      </c>
      <c r="B33">
        <v>1980</v>
      </c>
      <c r="C33" t="s">
        <v>173</v>
      </c>
      <c r="D33" t="s">
        <v>372</v>
      </c>
      <c r="E33" t="str">
        <f t="shared" si="0"/>
        <v>City of Arvin</v>
      </c>
      <c r="F33">
        <v>139</v>
      </c>
      <c r="G33" t="s">
        <v>2744</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2745</v>
      </c>
      <c r="B34">
        <v>1980</v>
      </c>
      <c r="C34" t="s">
        <v>173</v>
      </c>
      <c r="D34" t="s">
        <v>2746</v>
      </c>
      <c r="E34" t="str">
        <f t="shared" si="0"/>
        <v>City of Ashland</v>
      </c>
      <c r="F34">
        <v>143</v>
      </c>
      <c r="G34" t="s">
        <v>2747</v>
      </c>
      <c r="H34">
        <v>13893</v>
      </c>
      <c r="I34">
        <v>13893</v>
      </c>
      <c r="J34">
        <v>0</v>
      </c>
      <c r="K34">
        <v>0</v>
      </c>
      <c r="L34">
        <v>5968</v>
      </c>
      <c r="M34">
        <v>2452</v>
      </c>
      <c r="N34">
        <v>3516</v>
      </c>
      <c r="O34">
        <v>66200</v>
      </c>
      <c r="P34">
        <v>3997</v>
      </c>
      <c r="Q34">
        <v>665</v>
      </c>
      <c r="R34">
        <v>1401</v>
      </c>
      <c r="S34">
        <v>147</v>
      </c>
      <c r="T34" t="s">
        <v>2746</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2748</v>
      </c>
      <c r="B35">
        <v>1980</v>
      </c>
      <c r="C35" t="s">
        <v>173</v>
      </c>
      <c r="D35" t="s">
        <v>374</v>
      </c>
      <c r="E35" t="str">
        <f t="shared" si="0"/>
        <v>City of Atascadero</v>
      </c>
      <c r="F35">
        <v>145</v>
      </c>
      <c r="G35" t="s">
        <v>2749</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2750</v>
      </c>
      <c r="B36">
        <v>1980</v>
      </c>
      <c r="C36" t="s">
        <v>173</v>
      </c>
      <c r="D36" t="s">
        <v>376</v>
      </c>
      <c r="E36" t="str">
        <f t="shared" si="0"/>
        <v>City of Atherton</v>
      </c>
      <c r="F36">
        <v>150</v>
      </c>
      <c r="G36" t="s">
        <v>2751</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2752</v>
      </c>
      <c r="B37">
        <v>1980</v>
      </c>
      <c r="C37" t="s">
        <v>173</v>
      </c>
      <c r="D37" t="s">
        <v>378</v>
      </c>
      <c r="E37" t="str">
        <f t="shared" si="0"/>
        <v>City of Atwater</v>
      </c>
      <c r="F37">
        <v>155</v>
      </c>
      <c r="G37" t="s">
        <v>2753</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2754</v>
      </c>
      <c r="B38">
        <v>1980</v>
      </c>
      <c r="C38" t="s">
        <v>173</v>
      </c>
      <c r="D38" t="s">
        <v>380</v>
      </c>
      <c r="E38" t="str">
        <f t="shared" si="0"/>
        <v>City of Auburn</v>
      </c>
      <c r="F38">
        <v>160</v>
      </c>
      <c r="G38" t="s">
        <v>2755</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2756</v>
      </c>
      <c r="B39">
        <v>1980</v>
      </c>
      <c r="C39" t="s">
        <v>173</v>
      </c>
      <c r="D39" t="s">
        <v>2757</v>
      </c>
      <c r="E39" t="str">
        <f t="shared" si="0"/>
        <v>City of August</v>
      </c>
      <c r="F39">
        <v>162</v>
      </c>
      <c r="G39" t="s">
        <v>2758</v>
      </c>
      <c r="H39">
        <v>5445</v>
      </c>
      <c r="I39">
        <v>5445</v>
      </c>
      <c r="J39">
        <v>0</v>
      </c>
      <c r="K39">
        <v>0</v>
      </c>
      <c r="L39">
        <v>2137</v>
      </c>
      <c r="M39">
        <v>1255</v>
      </c>
      <c r="N39">
        <v>882</v>
      </c>
      <c r="O39">
        <v>28400</v>
      </c>
      <c r="P39">
        <v>1845</v>
      </c>
      <c r="Q39">
        <v>161</v>
      </c>
      <c r="R39">
        <v>48</v>
      </c>
      <c r="S39">
        <v>240</v>
      </c>
      <c r="T39" t="s">
        <v>2757</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2759</v>
      </c>
      <c r="B40">
        <v>1980</v>
      </c>
      <c r="C40" t="s">
        <v>173</v>
      </c>
      <c r="D40" t="s">
        <v>382</v>
      </c>
      <c r="E40" t="str">
        <f t="shared" si="0"/>
        <v>City of Avalon</v>
      </c>
      <c r="F40">
        <v>165</v>
      </c>
      <c r="G40" t="s">
        <v>2760</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2761</v>
      </c>
      <c r="B41">
        <v>1980</v>
      </c>
      <c r="C41" t="s">
        <v>173</v>
      </c>
      <c r="D41" t="s">
        <v>384</v>
      </c>
      <c r="E41" t="str">
        <f t="shared" si="0"/>
        <v>City of Avenal</v>
      </c>
      <c r="F41">
        <v>170</v>
      </c>
      <c r="G41" t="s">
        <v>2762</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2763</v>
      </c>
      <c r="B42">
        <v>1980</v>
      </c>
      <c r="C42" t="s">
        <v>173</v>
      </c>
      <c r="D42" t="s">
        <v>2764</v>
      </c>
      <c r="E42" t="str">
        <f t="shared" si="0"/>
        <v>City of Avocado Heights</v>
      </c>
      <c r="F42">
        <v>172</v>
      </c>
      <c r="G42" t="s">
        <v>2765</v>
      </c>
      <c r="H42">
        <v>11721</v>
      </c>
      <c r="I42">
        <v>11721</v>
      </c>
      <c r="J42">
        <v>0</v>
      </c>
      <c r="K42">
        <v>0</v>
      </c>
      <c r="L42">
        <v>3194</v>
      </c>
      <c r="M42">
        <v>2619</v>
      </c>
      <c r="N42">
        <v>575</v>
      </c>
      <c r="O42">
        <v>86800</v>
      </c>
      <c r="P42">
        <v>3100</v>
      </c>
      <c r="Q42">
        <v>146</v>
      </c>
      <c r="R42">
        <v>11</v>
      </c>
      <c r="S42">
        <v>48</v>
      </c>
      <c r="T42" t="s">
        <v>2764</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2766</v>
      </c>
      <c r="B43">
        <v>1980</v>
      </c>
      <c r="C43" t="s">
        <v>173</v>
      </c>
      <c r="D43" t="s">
        <v>386</v>
      </c>
      <c r="E43" t="str">
        <f t="shared" si="0"/>
        <v>City of Azusa</v>
      </c>
      <c r="F43">
        <v>175</v>
      </c>
      <c r="G43" t="s">
        <v>2767</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2768</v>
      </c>
      <c r="B44">
        <v>1980</v>
      </c>
      <c r="C44" t="s">
        <v>173</v>
      </c>
      <c r="D44" t="s">
        <v>388</v>
      </c>
      <c r="E44" t="str">
        <f t="shared" si="0"/>
        <v>City of Bakersfield</v>
      </c>
      <c r="F44">
        <v>180</v>
      </c>
      <c r="G44" t="s">
        <v>2769</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2770</v>
      </c>
      <c r="B45">
        <v>1980</v>
      </c>
      <c r="C45" t="s">
        <v>173</v>
      </c>
      <c r="D45" t="s">
        <v>2771</v>
      </c>
      <c r="E45" t="str">
        <f t="shared" si="0"/>
        <v>City of Baldwin Park</v>
      </c>
      <c r="F45">
        <v>185</v>
      </c>
      <c r="G45" t="s">
        <v>2772</v>
      </c>
      <c r="H45">
        <v>50554</v>
      </c>
      <c r="I45">
        <v>50554</v>
      </c>
      <c r="J45">
        <v>0</v>
      </c>
      <c r="K45">
        <v>0</v>
      </c>
      <c r="L45">
        <v>13923</v>
      </c>
      <c r="M45">
        <v>8782</v>
      </c>
      <c r="N45">
        <v>5141</v>
      </c>
      <c r="O45">
        <v>61300</v>
      </c>
      <c r="P45">
        <v>11500</v>
      </c>
      <c r="Q45">
        <v>1236</v>
      </c>
      <c r="R45">
        <v>1150</v>
      </c>
      <c r="S45">
        <v>467</v>
      </c>
      <c r="T45" t="s">
        <v>2771</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2773</v>
      </c>
      <c r="B46">
        <v>1980</v>
      </c>
      <c r="C46" t="s">
        <v>173</v>
      </c>
      <c r="D46" t="s">
        <v>390</v>
      </c>
      <c r="E46" t="str">
        <f t="shared" si="0"/>
        <v>City of Banning</v>
      </c>
      <c r="F46">
        <v>190</v>
      </c>
      <c r="G46" t="s">
        <v>2774</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2775</v>
      </c>
      <c r="B47">
        <v>1980</v>
      </c>
      <c r="C47" t="s">
        <v>173</v>
      </c>
      <c r="D47" t="s">
        <v>392</v>
      </c>
      <c r="E47" t="str">
        <f t="shared" si="0"/>
        <v>City of Barstow</v>
      </c>
      <c r="F47">
        <v>195</v>
      </c>
      <c r="G47" t="s">
        <v>2776</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2777</v>
      </c>
      <c r="B48">
        <v>1980</v>
      </c>
      <c r="C48" t="s">
        <v>173</v>
      </c>
      <c r="D48" t="s">
        <v>2778</v>
      </c>
      <c r="E48" t="str">
        <f t="shared" si="0"/>
        <v>City of Baywood-Los Osos</v>
      </c>
      <c r="F48">
        <v>202</v>
      </c>
      <c r="G48" t="s">
        <v>2779</v>
      </c>
      <c r="H48">
        <v>10933</v>
      </c>
      <c r="I48">
        <v>0</v>
      </c>
      <c r="J48">
        <v>10933</v>
      </c>
      <c r="K48">
        <v>0</v>
      </c>
      <c r="L48">
        <v>4401</v>
      </c>
      <c r="M48">
        <v>2904</v>
      </c>
      <c r="N48">
        <v>1497</v>
      </c>
      <c r="O48">
        <v>78600</v>
      </c>
      <c r="P48">
        <v>3828</v>
      </c>
      <c r="Q48">
        <v>386</v>
      </c>
      <c r="R48">
        <v>132</v>
      </c>
      <c r="S48">
        <v>403</v>
      </c>
      <c r="T48" t="s">
        <v>2778</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2780</v>
      </c>
      <c r="B49">
        <v>1980</v>
      </c>
      <c r="C49" t="s">
        <v>173</v>
      </c>
      <c r="D49" t="s">
        <v>2781</v>
      </c>
      <c r="E49" t="str">
        <f t="shared" si="0"/>
        <v>City of Beale AFB East</v>
      </c>
      <c r="F49">
        <v>203</v>
      </c>
      <c r="G49" t="s">
        <v>2782</v>
      </c>
      <c r="H49">
        <v>6329</v>
      </c>
      <c r="I49">
        <v>0</v>
      </c>
      <c r="J49">
        <v>6329</v>
      </c>
      <c r="K49">
        <v>0</v>
      </c>
      <c r="L49">
        <v>1840</v>
      </c>
      <c r="M49">
        <v>123</v>
      </c>
      <c r="N49">
        <v>1717</v>
      </c>
      <c r="O49">
        <v>44600</v>
      </c>
      <c r="P49">
        <v>1502</v>
      </c>
      <c r="Q49">
        <v>386</v>
      </c>
      <c r="R49">
        <v>1</v>
      </c>
      <c r="S49">
        <v>32</v>
      </c>
      <c r="T49" t="s">
        <v>2781</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2783</v>
      </c>
      <c r="B50">
        <v>1980</v>
      </c>
      <c r="C50" t="s">
        <v>173</v>
      </c>
      <c r="D50" t="s">
        <v>394</v>
      </c>
      <c r="E50" t="str">
        <f t="shared" si="0"/>
        <v>City of Beaumont</v>
      </c>
      <c r="F50">
        <v>205</v>
      </c>
      <c r="G50" t="s">
        <v>2784</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2785</v>
      </c>
      <c r="B51">
        <v>1980</v>
      </c>
      <c r="C51" t="s">
        <v>173</v>
      </c>
      <c r="D51" t="s">
        <v>2786</v>
      </c>
      <c r="E51" t="str">
        <f t="shared" si="0"/>
        <v>City of Bell</v>
      </c>
      <c r="F51">
        <v>210</v>
      </c>
      <c r="G51" t="s">
        <v>2787</v>
      </c>
      <c r="H51">
        <v>25450</v>
      </c>
      <c r="I51">
        <v>25450</v>
      </c>
      <c r="J51">
        <v>0</v>
      </c>
      <c r="K51">
        <v>0</v>
      </c>
      <c r="L51">
        <v>8855</v>
      </c>
      <c r="M51">
        <v>3010</v>
      </c>
      <c r="N51">
        <v>5845</v>
      </c>
      <c r="O51">
        <v>64600</v>
      </c>
      <c r="P51">
        <v>4365</v>
      </c>
      <c r="Q51">
        <v>3332</v>
      </c>
      <c r="R51">
        <v>1127</v>
      </c>
      <c r="S51">
        <v>422</v>
      </c>
      <c r="T51" t="s">
        <v>2786</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2788</v>
      </c>
      <c r="B52">
        <v>1980</v>
      </c>
      <c r="C52" t="s">
        <v>173</v>
      </c>
      <c r="D52" t="s">
        <v>398</v>
      </c>
      <c r="E52" t="str">
        <f t="shared" si="0"/>
        <v>City of Bellflower</v>
      </c>
      <c r="F52">
        <v>215</v>
      </c>
      <c r="G52" t="s">
        <v>2789</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2790</v>
      </c>
      <c r="B53">
        <v>1980</v>
      </c>
      <c r="C53" t="s">
        <v>173</v>
      </c>
      <c r="D53" t="s">
        <v>396</v>
      </c>
      <c r="E53" t="str">
        <f t="shared" si="0"/>
        <v>City of Bell Gardens</v>
      </c>
      <c r="F53">
        <v>220</v>
      </c>
      <c r="G53" t="s">
        <v>2791</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2792</v>
      </c>
      <c r="B54">
        <v>1980</v>
      </c>
      <c r="C54" t="s">
        <v>173</v>
      </c>
      <c r="D54" t="s">
        <v>400</v>
      </c>
      <c r="E54" t="str">
        <f t="shared" si="0"/>
        <v>City of Belmont</v>
      </c>
      <c r="F54">
        <v>225</v>
      </c>
      <c r="G54" t="s">
        <v>2793</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2794</v>
      </c>
      <c r="B55">
        <v>1980</v>
      </c>
      <c r="C55" t="s">
        <v>173</v>
      </c>
      <c r="D55" t="s">
        <v>2795</v>
      </c>
      <c r="E55" t="str">
        <f t="shared" si="0"/>
        <v>City of Belvedere</v>
      </c>
      <c r="F55">
        <v>230</v>
      </c>
      <c r="G55" t="s">
        <v>2796</v>
      </c>
      <c r="H55">
        <v>2401</v>
      </c>
      <c r="I55">
        <v>2401</v>
      </c>
      <c r="J55">
        <v>0</v>
      </c>
      <c r="K55">
        <v>0</v>
      </c>
      <c r="L55">
        <v>947</v>
      </c>
      <c r="M55">
        <v>718</v>
      </c>
      <c r="N55">
        <v>229</v>
      </c>
      <c r="O55">
        <v>200100</v>
      </c>
      <c r="P55">
        <v>926</v>
      </c>
      <c r="Q55">
        <v>56</v>
      </c>
      <c r="R55">
        <v>11</v>
      </c>
      <c r="S55">
        <v>0</v>
      </c>
      <c r="T55" t="s">
        <v>2795</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2797</v>
      </c>
      <c r="B56">
        <v>1980</v>
      </c>
      <c r="C56" t="s">
        <v>173</v>
      </c>
      <c r="D56" t="s">
        <v>402</v>
      </c>
      <c r="E56" t="str">
        <f t="shared" si="0"/>
        <v>City of Benicia</v>
      </c>
      <c r="F56">
        <v>235</v>
      </c>
      <c r="G56" t="s">
        <v>2798</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2799</v>
      </c>
      <c r="B57">
        <v>1980</v>
      </c>
      <c r="C57" t="s">
        <v>173</v>
      </c>
      <c r="D57" t="s">
        <v>2800</v>
      </c>
      <c r="E57" t="str">
        <f t="shared" si="0"/>
        <v>City of Ben Lomond</v>
      </c>
      <c r="F57">
        <v>240</v>
      </c>
      <c r="G57" t="s">
        <v>2801</v>
      </c>
      <c r="H57">
        <v>7238</v>
      </c>
      <c r="I57">
        <v>7238</v>
      </c>
      <c r="J57">
        <v>0</v>
      </c>
      <c r="K57">
        <v>0</v>
      </c>
      <c r="L57">
        <v>2615</v>
      </c>
      <c r="M57">
        <v>1910</v>
      </c>
      <c r="N57">
        <v>705</v>
      </c>
      <c r="O57">
        <v>95200</v>
      </c>
      <c r="P57">
        <v>2521</v>
      </c>
      <c r="Q57">
        <v>369</v>
      </c>
      <c r="R57">
        <v>40</v>
      </c>
      <c r="S57">
        <v>37</v>
      </c>
      <c r="T57" t="s">
        <v>2800</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2802</v>
      </c>
      <c r="B58">
        <v>1980</v>
      </c>
      <c r="C58" t="s">
        <v>173</v>
      </c>
      <c r="D58" t="s">
        <v>404</v>
      </c>
      <c r="E58" t="str">
        <f t="shared" si="0"/>
        <v>City of Berkeley</v>
      </c>
      <c r="F58">
        <v>245</v>
      </c>
      <c r="G58" t="s">
        <v>2803</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2804</v>
      </c>
      <c r="B59">
        <v>1980</v>
      </c>
      <c r="C59" t="s">
        <v>173</v>
      </c>
      <c r="D59" t="s">
        <v>2805</v>
      </c>
      <c r="E59" t="str">
        <f t="shared" si="0"/>
        <v>City of Bethel Island</v>
      </c>
      <c r="F59">
        <v>249</v>
      </c>
      <c r="G59" t="s">
        <v>2806</v>
      </c>
      <c r="H59">
        <v>1774</v>
      </c>
      <c r="I59">
        <v>0</v>
      </c>
      <c r="J59">
        <v>0</v>
      </c>
      <c r="K59">
        <v>1774</v>
      </c>
      <c r="L59">
        <v>819</v>
      </c>
      <c r="M59">
        <v>627</v>
      </c>
      <c r="N59">
        <v>192</v>
      </c>
      <c r="O59">
        <v>96300</v>
      </c>
      <c r="P59">
        <v>604</v>
      </c>
      <c r="Q59">
        <v>79</v>
      </c>
      <c r="R59">
        <v>4</v>
      </c>
      <c r="S59">
        <v>322</v>
      </c>
      <c r="T59" t="s">
        <v>2805</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2807</v>
      </c>
      <c r="B60">
        <v>1980</v>
      </c>
      <c r="C60" t="s">
        <v>173</v>
      </c>
      <c r="D60" t="s">
        <v>406</v>
      </c>
      <c r="E60" t="str">
        <f t="shared" si="0"/>
        <v>City of Beverly Hills</v>
      </c>
      <c r="F60">
        <v>250</v>
      </c>
      <c r="G60" t="s">
        <v>2808</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2809</v>
      </c>
      <c r="B61">
        <v>1980</v>
      </c>
      <c r="C61" t="s">
        <v>173</v>
      </c>
      <c r="D61" t="s">
        <v>2810</v>
      </c>
      <c r="E61" t="str">
        <f t="shared" si="0"/>
        <v>City of Big Bear</v>
      </c>
      <c r="F61">
        <v>253</v>
      </c>
      <c r="G61" t="s">
        <v>2811</v>
      </c>
      <c r="H61">
        <v>11151</v>
      </c>
      <c r="I61">
        <v>0</v>
      </c>
      <c r="J61">
        <v>11151</v>
      </c>
      <c r="K61">
        <v>0</v>
      </c>
      <c r="L61">
        <v>4410</v>
      </c>
      <c r="M61">
        <v>3024</v>
      </c>
      <c r="N61">
        <v>1386</v>
      </c>
      <c r="O61">
        <v>76400</v>
      </c>
      <c r="P61">
        <v>14775</v>
      </c>
      <c r="Q61">
        <v>803</v>
      </c>
      <c r="R61">
        <v>282</v>
      </c>
      <c r="S61">
        <v>603</v>
      </c>
      <c r="T61" t="s">
        <v>2810</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2812</v>
      </c>
      <c r="B62">
        <v>1980</v>
      </c>
      <c r="C62" t="s">
        <v>173</v>
      </c>
      <c r="D62" t="s">
        <v>410</v>
      </c>
      <c r="E62" t="str">
        <f t="shared" si="0"/>
        <v>City of Biggs</v>
      </c>
      <c r="F62">
        <v>265</v>
      </c>
      <c r="G62" t="s">
        <v>2813</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2814</v>
      </c>
      <c r="B63">
        <v>1980</v>
      </c>
      <c r="C63" t="s">
        <v>173</v>
      </c>
      <c r="D63" t="s">
        <v>2815</v>
      </c>
      <c r="E63" t="str">
        <f t="shared" si="0"/>
        <v>City of Big Pine</v>
      </c>
      <c r="F63">
        <v>268</v>
      </c>
      <c r="G63" t="s">
        <v>2816</v>
      </c>
      <c r="H63">
        <v>1510</v>
      </c>
      <c r="I63">
        <v>0</v>
      </c>
      <c r="J63">
        <v>0</v>
      </c>
      <c r="K63">
        <v>1510</v>
      </c>
      <c r="L63">
        <v>552</v>
      </c>
      <c r="M63">
        <v>421</v>
      </c>
      <c r="N63">
        <v>131</v>
      </c>
      <c r="O63">
        <v>77000</v>
      </c>
      <c r="P63">
        <v>453</v>
      </c>
      <c r="Q63">
        <v>49</v>
      </c>
      <c r="R63">
        <v>2</v>
      </c>
      <c r="S63">
        <v>106</v>
      </c>
      <c r="T63" t="s">
        <v>2815</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2817</v>
      </c>
      <c r="B64">
        <v>1980</v>
      </c>
      <c r="C64" t="s">
        <v>173</v>
      </c>
      <c r="D64" t="s">
        <v>412</v>
      </c>
      <c r="E64" t="str">
        <f t="shared" si="0"/>
        <v>City of Bishop</v>
      </c>
      <c r="F64">
        <v>275</v>
      </c>
      <c r="G64" t="s">
        <v>2818</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2819</v>
      </c>
      <c r="B65">
        <v>1980</v>
      </c>
      <c r="C65" t="s">
        <v>173</v>
      </c>
      <c r="D65" t="s">
        <v>2820</v>
      </c>
      <c r="E65" t="str">
        <f t="shared" si="0"/>
        <v>City of Bloomington</v>
      </c>
      <c r="F65">
        <v>277</v>
      </c>
      <c r="G65" t="s">
        <v>2821</v>
      </c>
      <c r="H65">
        <v>12781</v>
      </c>
      <c r="I65">
        <v>12781</v>
      </c>
      <c r="J65">
        <v>0</v>
      </c>
      <c r="K65">
        <v>0</v>
      </c>
      <c r="L65">
        <v>4002</v>
      </c>
      <c r="M65">
        <v>3107</v>
      </c>
      <c r="N65">
        <v>895</v>
      </c>
      <c r="O65">
        <v>48500</v>
      </c>
      <c r="P65">
        <v>3600</v>
      </c>
      <c r="Q65">
        <v>254</v>
      </c>
      <c r="R65">
        <v>17</v>
      </c>
      <c r="S65">
        <v>391</v>
      </c>
      <c r="T65" t="s">
        <v>2820</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2822</v>
      </c>
      <c r="B66">
        <v>1980</v>
      </c>
      <c r="C66" t="s">
        <v>173</v>
      </c>
      <c r="D66" t="s">
        <v>414</v>
      </c>
      <c r="E66" t="str">
        <f t="shared" si="0"/>
        <v>City of Blue Lake</v>
      </c>
      <c r="F66">
        <v>280</v>
      </c>
      <c r="G66" t="s">
        <v>2823</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2824</v>
      </c>
      <c r="B67">
        <v>1980</v>
      </c>
      <c r="C67" t="s">
        <v>173</v>
      </c>
      <c r="D67" t="s">
        <v>416</v>
      </c>
      <c r="E67" t="str">
        <f t="shared" si="0"/>
        <v>City of Blythe</v>
      </c>
      <c r="F67">
        <v>290</v>
      </c>
      <c r="G67" t="s">
        <v>2825</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2826</v>
      </c>
      <c r="B68">
        <v>1980</v>
      </c>
      <c r="C68" t="s">
        <v>173</v>
      </c>
      <c r="D68" t="s">
        <v>2827</v>
      </c>
      <c r="E68" t="str">
        <f t="shared" si="0"/>
        <v>City of Bodfish</v>
      </c>
      <c r="F68">
        <v>292</v>
      </c>
      <c r="G68" t="s">
        <v>2828</v>
      </c>
      <c r="H68">
        <v>1379</v>
      </c>
      <c r="I68">
        <v>0</v>
      </c>
      <c r="J68">
        <v>0</v>
      </c>
      <c r="K68">
        <v>1379</v>
      </c>
      <c r="L68">
        <v>604</v>
      </c>
      <c r="M68">
        <v>528</v>
      </c>
      <c r="N68">
        <v>76</v>
      </c>
      <c r="O68">
        <v>43000</v>
      </c>
      <c r="P68">
        <v>327</v>
      </c>
      <c r="Q68">
        <v>22</v>
      </c>
      <c r="R68">
        <v>0</v>
      </c>
      <c r="S68">
        <v>543</v>
      </c>
      <c r="T68" t="s">
        <v>2827</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2829</v>
      </c>
      <c r="B69">
        <v>1980</v>
      </c>
      <c r="C69" t="s">
        <v>173</v>
      </c>
      <c r="D69" t="s">
        <v>2830</v>
      </c>
      <c r="E69" t="str">
        <f t="shared" ref="E69:E132" si="1">_xlfn.CONCAT("City of ",D69)</f>
        <v>City of Bolinas</v>
      </c>
      <c r="F69">
        <v>293</v>
      </c>
      <c r="G69" t="s">
        <v>2831</v>
      </c>
      <c r="H69">
        <v>1225</v>
      </c>
      <c r="I69">
        <v>0</v>
      </c>
      <c r="J69">
        <v>0</v>
      </c>
      <c r="K69">
        <v>1225</v>
      </c>
      <c r="L69">
        <v>519</v>
      </c>
      <c r="M69">
        <v>286</v>
      </c>
      <c r="N69">
        <v>233</v>
      </c>
      <c r="O69">
        <v>103000</v>
      </c>
      <c r="P69">
        <v>490</v>
      </c>
      <c r="Q69">
        <v>70</v>
      </c>
      <c r="R69">
        <v>0</v>
      </c>
      <c r="S69">
        <v>5</v>
      </c>
      <c r="T69" t="s">
        <v>2830</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2832</v>
      </c>
      <c r="B70">
        <v>1980</v>
      </c>
      <c r="C70" t="s">
        <v>173</v>
      </c>
      <c r="D70" t="s">
        <v>2833</v>
      </c>
      <c r="E70" t="str">
        <f t="shared" si="1"/>
        <v>City of Bonadelle Ranchos-Madera Ranchos</v>
      </c>
      <c r="F70">
        <v>296</v>
      </c>
      <c r="G70" t="s">
        <v>2834</v>
      </c>
      <c r="H70">
        <v>3272</v>
      </c>
      <c r="I70">
        <v>0</v>
      </c>
      <c r="J70">
        <v>3272</v>
      </c>
      <c r="K70">
        <v>0</v>
      </c>
      <c r="L70">
        <v>959</v>
      </c>
      <c r="M70">
        <v>934</v>
      </c>
      <c r="N70">
        <v>25</v>
      </c>
      <c r="O70">
        <v>82200</v>
      </c>
      <c r="P70">
        <v>1051</v>
      </c>
      <c r="Q70">
        <v>15</v>
      </c>
      <c r="R70">
        <v>0</v>
      </c>
      <c r="S70">
        <v>2</v>
      </c>
      <c r="T70" t="s">
        <v>2833</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2835</v>
      </c>
      <c r="B71">
        <v>1980</v>
      </c>
      <c r="C71" t="s">
        <v>173</v>
      </c>
      <c r="D71" t="s">
        <v>2836</v>
      </c>
      <c r="E71" t="str">
        <f t="shared" si="1"/>
        <v>City of Bonita</v>
      </c>
      <c r="F71">
        <v>297</v>
      </c>
      <c r="G71" t="s">
        <v>2837</v>
      </c>
      <c r="H71">
        <v>6257</v>
      </c>
      <c r="I71">
        <v>6257</v>
      </c>
      <c r="J71">
        <v>0</v>
      </c>
      <c r="K71">
        <v>0</v>
      </c>
      <c r="L71">
        <v>2086</v>
      </c>
      <c r="M71">
        <v>1737</v>
      </c>
      <c r="N71">
        <v>349</v>
      </c>
      <c r="O71">
        <v>134700</v>
      </c>
      <c r="P71">
        <v>2053</v>
      </c>
      <c r="Q71">
        <v>70</v>
      </c>
      <c r="R71">
        <v>87</v>
      </c>
      <c r="S71">
        <v>15</v>
      </c>
      <c r="T71" t="s">
        <v>2836</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2838</v>
      </c>
      <c r="B72">
        <v>1980</v>
      </c>
      <c r="C72" t="s">
        <v>173</v>
      </c>
      <c r="D72" t="s">
        <v>2839</v>
      </c>
      <c r="E72" t="str">
        <f t="shared" si="1"/>
        <v>City of Boron</v>
      </c>
      <c r="F72">
        <v>302</v>
      </c>
      <c r="G72" t="s">
        <v>2840</v>
      </c>
      <c r="H72">
        <v>2040</v>
      </c>
      <c r="I72">
        <v>0</v>
      </c>
      <c r="J72">
        <v>0</v>
      </c>
      <c r="K72">
        <v>2040</v>
      </c>
      <c r="L72">
        <v>774</v>
      </c>
      <c r="M72">
        <v>458</v>
      </c>
      <c r="N72">
        <v>316</v>
      </c>
      <c r="O72">
        <v>33400</v>
      </c>
      <c r="P72">
        <v>691</v>
      </c>
      <c r="Q72">
        <v>53</v>
      </c>
      <c r="R72">
        <v>17</v>
      </c>
      <c r="S72">
        <v>108</v>
      </c>
      <c r="T72" t="s">
        <v>2839</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2841</v>
      </c>
      <c r="B73">
        <v>1980</v>
      </c>
      <c r="C73" t="s">
        <v>173</v>
      </c>
      <c r="D73" t="s">
        <v>2842</v>
      </c>
      <c r="E73" t="str">
        <f t="shared" si="1"/>
        <v>City of Borrego Springs</v>
      </c>
      <c r="F73">
        <v>303</v>
      </c>
      <c r="G73" t="s">
        <v>2843</v>
      </c>
      <c r="H73">
        <v>1405</v>
      </c>
      <c r="I73">
        <v>0</v>
      </c>
      <c r="J73">
        <v>0</v>
      </c>
      <c r="K73">
        <v>1405</v>
      </c>
      <c r="L73">
        <v>603</v>
      </c>
      <c r="M73">
        <v>422</v>
      </c>
      <c r="N73">
        <v>181</v>
      </c>
      <c r="O73">
        <v>80600</v>
      </c>
      <c r="P73">
        <v>722</v>
      </c>
      <c r="Q73">
        <v>93</v>
      </c>
      <c r="R73">
        <v>125</v>
      </c>
      <c r="S73">
        <v>302</v>
      </c>
      <c r="T73" t="s">
        <v>2842</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2844</v>
      </c>
      <c r="B74">
        <v>1980</v>
      </c>
      <c r="C74" t="s">
        <v>173</v>
      </c>
      <c r="D74" t="s">
        <v>2845</v>
      </c>
      <c r="E74" t="str">
        <f t="shared" si="1"/>
        <v>City of Boulder Creek</v>
      </c>
      <c r="F74">
        <v>305</v>
      </c>
      <c r="G74" t="s">
        <v>2846</v>
      </c>
      <c r="H74">
        <v>5662</v>
      </c>
      <c r="I74">
        <v>5662</v>
      </c>
      <c r="J74">
        <v>0</v>
      </c>
      <c r="K74">
        <v>0</v>
      </c>
      <c r="L74">
        <v>2259</v>
      </c>
      <c r="M74">
        <v>1515</v>
      </c>
      <c r="N74">
        <v>744</v>
      </c>
      <c r="O74">
        <v>82800</v>
      </c>
      <c r="P74">
        <v>2418</v>
      </c>
      <c r="Q74">
        <v>327</v>
      </c>
      <c r="R74">
        <v>57</v>
      </c>
      <c r="S74">
        <v>41</v>
      </c>
      <c r="T74" t="s">
        <v>2845</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2847</v>
      </c>
      <c r="B75">
        <v>1980</v>
      </c>
      <c r="C75" t="s">
        <v>173</v>
      </c>
      <c r="D75" t="s">
        <v>2848</v>
      </c>
      <c r="E75" t="str">
        <f t="shared" si="1"/>
        <v>City of Boyes Hot Springs</v>
      </c>
      <c r="F75">
        <v>308</v>
      </c>
      <c r="G75" t="s">
        <v>2849</v>
      </c>
      <c r="H75">
        <v>4177</v>
      </c>
      <c r="I75">
        <v>0</v>
      </c>
      <c r="J75">
        <v>4177</v>
      </c>
      <c r="K75">
        <v>0</v>
      </c>
      <c r="L75">
        <v>1895</v>
      </c>
      <c r="M75">
        <v>998</v>
      </c>
      <c r="N75">
        <v>897</v>
      </c>
      <c r="O75">
        <v>71300</v>
      </c>
      <c r="P75">
        <v>1632</v>
      </c>
      <c r="Q75">
        <v>223</v>
      </c>
      <c r="R75">
        <v>88</v>
      </c>
      <c r="S75">
        <v>117</v>
      </c>
      <c r="T75" t="s">
        <v>2848</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2850</v>
      </c>
      <c r="B76">
        <v>1980</v>
      </c>
      <c r="C76" t="s">
        <v>173</v>
      </c>
      <c r="D76" t="s">
        <v>418</v>
      </c>
      <c r="E76" t="str">
        <f t="shared" si="1"/>
        <v>City of Bradbury</v>
      </c>
      <c r="F76">
        <v>315</v>
      </c>
      <c r="G76" t="s">
        <v>2851</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2852</v>
      </c>
      <c r="B77">
        <v>1980</v>
      </c>
      <c r="C77" t="s">
        <v>173</v>
      </c>
      <c r="D77" t="s">
        <v>420</v>
      </c>
      <c r="E77" t="str">
        <f t="shared" si="1"/>
        <v>City of Brawley</v>
      </c>
      <c r="F77">
        <v>320</v>
      </c>
      <c r="G77" t="s">
        <v>2853</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2854</v>
      </c>
      <c r="B78">
        <v>1980</v>
      </c>
      <c r="C78" t="s">
        <v>173</v>
      </c>
      <c r="D78" t="s">
        <v>422</v>
      </c>
      <c r="E78" t="str">
        <f t="shared" si="1"/>
        <v>City of Brea</v>
      </c>
      <c r="F78">
        <v>325</v>
      </c>
      <c r="G78" t="s">
        <v>2855</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2856</v>
      </c>
      <c r="B79">
        <v>1980</v>
      </c>
      <c r="C79" t="s">
        <v>173</v>
      </c>
      <c r="D79" t="s">
        <v>424</v>
      </c>
      <c r="E79" t="str">
        <f t="shared" si="1"/>
        <v>City of Brentwood</v>
      </c>
      <c r="F79">
        <v>327</v>
      </c>
      <c r="G79" t="s">
        <v>2857</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2858</v>
      </c>
      <c r="B80">
        <v>1980</v>
      </c>
      <c r="C80" t="s">
        <v>173</v>
      </c>
      <c r="D80" t="s">
        <v>426</v>
      </c>
      <c r="E80" t="str">
        <f t="shared" si="1"/>
        <v>City of Brisbane</v>
      </c>
      <c r="F80">
        <v>328</v>
      </c>
      <c r="G80" t="s">
        <v>2859</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2860</v>
      </c>
      <c r="B81">
        <v>1980</v>
      </c>
      <c r="C81" t="s">
        <v>173</v>
      </c>
      <c r="D81" t="s">
        <v>2861</v>
      </c>
      <c r="E81" t="str">
        <f t="shared" si="1"/>
        <v>City of Broderick-Bryte</v>
      </c>
      <c r="F81">
        <v>332</v>
      </c>
      <c r="G81" t="s">
        <v>2862</v>
      </c>
      <c r="H81">
        <v>10194</v>
      </c>
      <c r="I81">
        <v>10194</v>
      </c>
      <c r="J81">
        <v>0</v>
      </c>
      <c r="K81">
        <v>0</v>
      </c>
      <c r="L81">
        <v>3962</v>
      </c>
      <c r="M81">
        <v>1855</v>
      </c>
      <c r="N81">
        <v>2107</v>
      </c>
      <c r="O81">
        <v>38500</v>
      </c>
      <c r="P81">
        <v>2766</v>
      </c>
      <c r="Q81">
        <v>524</v>
      </c>
      <c r="R81">
        <v>761</v>
      </c>
      <c r="S81">
        <v>280</v>
      </c>
      <c r="T81" t="s">
        <v>2861</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2863</v>
      </c>
      <c r="B82">
        <v>1980</v>
      </c>
      <c r="C82" t="s">
        <v>173</v>
      </c>
      <c r="D82" t="s">
        <v>428</v>
      </c>
      <c r="E82" t="str">
        <f t="shared" si="1"/>
        <v>City of Buellton</v>
      </c>
      <c r="F82">
        <v>334</v>
      </c>
      <c r="G82" t="s">
        <v>2864</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2865</v>
      </c>
      <c r="B83">
        <v>1980</v>
      </c>
      <c r="C83" t="s">
        <v>173</v>
      </c>
      <c r="D83" t="s">
        <v>430</v>
      </c>
      <c r="E83" t="str">
        <f t="shared" si="1"/>
        <v>City of Buena Park</v>
      </c>
      <c r="F83">
        <v>335</v>
      </c>
      <c r="G83" t="s">
        <v>2866</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2867</v>
      </c>
      <c r="B84">
        <v>1980</v>
      </c>
      <c r="C84" t="s">
        <v>173</v>
      </c>
      <c r="D84" t="s">
        <v>432</v>
      </c>
      <c r="E84" t="str">
        <f t="shared" si="1"/>
        <v>City of Burbank</v>
      </c>
      <c r="F84">
        <v>340</v>
      </c>
      <c r="G84" t="s">
        <v>2868</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2869</v>
      </c>
      <c r="B85">
        <v>1980</v>
      </c>
      <c r="C85" t="s">
        <v>173</v>
      </c>
      <c r="D85" t="s">
        <v>2870</v>
      </c>
      <c r="E85" t="str">
        <f t="shared" si="1"/>
        <v>City of Burlingame</v>
      </c>
      <c r="F85">
        <v>345</v>
      </c>
      <c r="G85" t="s">
        <v>2871</v>
      </c>
      <c r="H85">
        <v>26173</v>
      </c>
      <c r="I85">
        <v>26173</v>
      </c>
      <c r="J85">
        <v>0</v>
      </c>
      <c r="K85">
        <v>0</v>
      </c>
      <c r="L85">
        <v>12356</v>
      </c>
      <c r="M85">
        <v>5785</v>
      </c>
      <c r="N85">
        <v>6571</v>
      </c>
      <c r="O85">
        <v>151000</v>
      </c>
      <c r="P85">
        <v>7225</v>
      </c>
      <c r="Q85">
        <v>2504</v>
      </c>
      <c r="R85">
        <v>2913</v>
      </c>
      <c r="S85">
        <v>9</v>
      </c>
      <c r="T85" t="s">
        <v>2870</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2872</v>
      </c>
      <c r="B86">
        <v>1980</v>
      </c>
      <c r="C86" t="s">
        <v>173</v>
      </c>
      <c r="D86" t="s">
        <v>2873</v>
      </c>
      <c r="E86" t="str">
        <f t="shared" si="1"/>
        <v>City of Burney</v>
      </c>
      <c r="F86">
        <v>350</v>
      </c>
      <c r="G86" t="s">
        <v>2874</v>
      </c>
      <c r="H86">
        <v>3187</v>
      </c>
      <c r="I86">
        <v>0</v>
      </c>
      <c r="J86">
        <v>3187</v>
      </c>
      <c r="K86">
        <v>0</v>
      </c>
      <c r="L86">
        <v>1115</v>
      </c>
      <c r="M86">
        <v>804</v>
      </c>
      <c r="N86">
        <v>311</v>
      </c>
      <c r="O86">
        <v>50200</v>
      </c>
      <c r="P86">
        <v>1004</v>
      </c>
      <c r="Q86">
        <v>100</v>
      </c>
      <c r="R86">
        <v>64</v>
      </c>
      <c r="S86">
        <v>68</v>
      </c>
      <c r="T86" t="s">
        <v>2873</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2875</v>
      </c>
      <c r="B87">
        <v>1980</v>
      </c>
      <c r="C87" t="s">
        <v>173</v>
      </c>
      <c r="D87" t="s">
        <v>2876</v>
      </c>
      <c r="E87" t="str">
        <f t="shared" si="1"/>
        <v>City of Buttonwillow</v>
      </c>
      <c r="F87">
        <v>356</v>
      </c>
      <c r="G87" t="s">
        <v>2877</v>
      </c>
      <c r="H87">
        <v>1350</v>
      </c>
      <c r="I87">
        <v>0</v>
      </c>
      <c r="J87">
        <v>0</v>
      </c>
      <c r="K87">
        <v>1350</v>
      </c>
      <c r="L87">
        <v>437</v>
      </c>
      <c r="M87">
        <v>249</v>
      </c>
      <c r="N87">
        <v>188</v>
      </c>
      <c r="O87">
        <v>40800</v>
      </c>
      <c r="P87">
        <v>390</v>
      </c>
      <c r="Q87">
        <v>51</v>
      </c>
      <c r="R87">
        <v>2</v>
      </c>
      <c r="S87">
        <v>12</v>
      </c>
      <c r="T87" t="s">
        <v>2876</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2878</v>
      </c>
      <c r="B88">
        <v>1980</v>
      </c>
      <c r="C88" t="s">
        <v>173</v>
      </c>
      <c r="D88" t="s">
        <v>436</v>
      </c>
      <c r="E88" t="str">
        <f t="shared" si="1"/>
        <v>City of Calexico</v>
      </c>
      <c r="F88">
        <v>365</v>
      </c>
      <c r="G88" t="s">
        <v>2879</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2880</v>
      </c>
      <c r="B89">
        <v>1980</v>
      </c>
      <c r="C89" t="s">
        <v>173</v>
      </c>
      <c r="D89" t="s">
        <v>2881</v>
      </c>
      <c r="E89" t="str">
        <f t="shared" si="1"/>
        <v>City of California City</v>
      </c>
      <c r="F89">
        <v>367</v>
      </c>
      <c r="G89" t="s">
        <v>2882</v>
      </c>
      <c r="H89">
        <v>2743</v>
      </c>
      <c r="I89">
        <v>0</v>
      </c>
      <c r="J89">
        <v>2743</v>
      </c>
      <c r="K89">
        <v>0</v>
      </c>
      <c r="L89">
        <v>990</v>
      </c>
      <c r="M89">
        <v>676</v>
      </c>
      <c r="N89">
        <v>314</v>
      </c>
      <c r="O89">
        <v>49000</v>
      </c>
      <c r="P89">
        <v>849</v>
      </c>
      <c r="Q89">
        <v>118</v>
      </c>
      <c r="R89">
        <v>27</v>
      </c>
      <c r="S89">
        <v>134</v>
      </c>
      <c r="T89" t="s">
        <v>2881</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2883</v>
      </c>
      <c r="B90">
        <v>1980</v>
      </c>
      <c r="C90" t="s">
        <v>173</v>
      </c>
      <c r="D90" t="s">
        <v>441</v>
      </c>
      <c r="E90" t="str">
        <f t="shared" si="1"/>
        <v>City of Calipatria</v>
      </c>
      <c r="F90">
        <v>370</v>
      </c>
      <c r="G90" t="s">
        <v>2884</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2885</v>
      </c>
      <c r="B91">
        <v>1980</v>
      </c>
      <c r="C91" t="s">
        <v>173</v>
      </c>
      <c r="D91" t="s">
        <v>443</v>
      </c>
      <c r="E91" t="str">
        <f t="shared" si="1"/>
        <v>City of Calistoga</v>
      </c>
      <c r="F91">
        <v>375</v>
      </c>
      <c r="G91" t="s">
        <v>2886</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2887</v>
      </c>
      <c r="B92">
        <v>1980</v>
      </c>
      <c r="C92" t="s">
        <v>173</v>
      </c>
      <c r="D92" t="s">
        <v>2888</v>
      </c>
      <c r="E92" t="str">
        <f t="shared" si="1"/>
        <v>City of Calwa</v>
      </c>
      <c r="F92">
        <v>377</v>
      </c>
      <c r="G92" t="s">
        <v>2889</v>
      </c>
      <c r="H92">
        <v>6640</v>
      </c>
      <c r="I92">
        <v>6640</v>
      </c>
      <c r="J92">
        <v>0</v>
      </c>
      <c r="K92">
        <v>0</v>
      </c>
      <c r="L92">
        <v>1870</v>
      </c>
      <c r="M92">
        <v>1245</v>
      </c>
      <c r="N92">
        <v>625</v>
      </c>
      <c r="O92">
        <v>41400</v>
      </c>
      <c r="P92">
        <v>1625</v>
      </c>
      <c r="Q92">
        <v>210</v>
      </c>
      <c r="R92">
        <v>14</v>
      </c>
      <c r="S92">
        <v>187</v>
      </c>
      <c r="T92" t="s">
        <v>2888</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2890</v>
      </c>
      <c r="B93">
        <v>1980</v>
      </c>
      <c r="C93" t="s">
        <v>173</v>
      </c>
      <c r="D93" t="s">
        <v>445</v>
      </c>
      <c r="E93" t="str">
        <f t="shared" si="1"/>
        <v>City of Camarillo</v>
      </c>
      <c r="F93">
        <v>379</v>
      </c>
      <c r="G93" t="s">
        <v>2891</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2892</v>
      </c>
      <c r="B94">
        <v>1980</v>
      </c>
      <c r="C94" t="s">
        <v>173</v>
      </c>
      <c r="D94" t="s">
        <v>2893</v>
      </c>
      <c r="E94" t="str">
        <f t="shared" si="1"/>
        <v>City of Camarillo Heights</v>
      </c>
      <c r="F94">
        <v>385</v>
      </c>
      <c r="G94" t="s">
        <v>2894</v>
      </c>
      <c r="H94">
        <v>6341</v>
      </c>
      <c r="I94">
        <v>6341</v>
      </c>
      <c r="J94">
        <v>0</v>
      </c>
      <c r="K94">
        <v>0</v>
      </c>
      <c r="L94">
        <v>2047</v>
      </c>
      <c r="M94">
        <v>1803</v>
      </c>
      <c r="N94">
        <v>244</v>
      </c>
      <c r="O94">
        <v>147200</v>
      </c>
      <c r="P94">
        <v>2025</v>
      </c>
      <c r="Q94">
        <v>67</v>
      </c>
      <c r="R94">
        <v>0</v>
      </c>
      <c r="S94">
        <v>0</v>
      </c>
      <c r="T94" t="s">
        <v>2893</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2895</v>
      </c>
      <c r="B95">
        <v>1980</v>
      </c>
      <c r="C95" t="s">
        <v>173</v>
      </c>
      <c r="D95" t="s">
        <v>2896</v>
      </c>
      <c r="E95" t="str">
        <f t="shared" si="1"/>
        <v>City of Cambria</v>
      </c>
      <c r="F95">
        <v>386</v>
      </c>
      <c r="G95" t="s">
        <v>2897</v>
      </c>
      <c r="H95">
        <v>3061</v>
      </c>
      <c r="I95">
        <v>0</v>
      </c>
      <c r="J95">
        <v>3061</v>
      </c>
      <c r="K95">
        <v>0</v>
      </c>
      <c r="L95">
        <v>1413</v>
      </c>
      <c r="M95">
        <v>980</v>
      </c>
      <c r="N95">
        <v>433</v>
      </c>
      <c r="O95">
        <v>92300</v>
      </c>
      <c r="P95">
        <v>1714</v>
      </c>
      <c r="Q95">
        <v>90</v>
      </c>
      <c r="R95">
        <v>15</v>
      </c>
      <c r="S95">
        <v>54</v>
      </c>
      <c r="T95" t="s">
        <v>2896</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2898</v>
      </c>
      <c r="B96">
        <v>1980</v>
      </c>
      <c r="C96" t="s">
        <v>173</v>
      </c>
      <c r="D96" t="s">
        <v>2899</v>
      </c>
      <c r="E96" t="str">
        <f t="shared" si="1"/>
        <v>City of Cameron Park</v>
      </c>
      <c r="F96">
        <v>388</v>
      </c>
      <c r="G96" t="s">
        <v>2900</v>
      </c>
      <c r="H96">
        <v>5607</v>
      </c>
      <c r="I96">
        <v>0</v>
      </c>
      <c r="J96">
        <v>5607</v>
      </c>
      <c r="K96">
        <v>0</v>
      </c>
      <c r="L96">
        <v>1924</v>
      </c>
      <c r="M96">
        <v>1679</v>
      </c>
      <c r="N96">
        <v>245</v>
      </c>
      <c r="O96">
        <v>93200</v>
      </c>
      <c r="P96">
        <v>1933</v>
      </c>
      <c r="Q96">
        <v>73</v>
      </c>
      <c r="R96">
        <v>97</v>
      </c>
      <c r="S96">
        <v>167</v>
      </c>
      <c r="T96" t="s">
        <v>2899</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2901</v>
      </c>
      <c r="B97">
        <v>1980</v>
      </c>
      <c r="C97" t="s">
        <v>173</v>
      </c>
      <c r="D97" t="s">
        <v>447</v>
      </c>
      <c r="E97" t="str">
        <f t="shared" si="1"/>
        <v>City of Campbell</v>
      </c>
      <c r="F97">
        <v>390</v>
      </c>
      <c r="G97" t="s">
        <v>2902</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2903</v>
      </c>
      <c r="B98">
        <v>1980</v>
      </c>
      <c r="C98" t="s">
        <v>173</v>
      </c>
      <c r="D98" t="s">
        <v>2904</v>
      </c>
      <c r="E98" t="str">
        <f t="shared" si="1"/>
        <v>City of Camp Pendleton North</v>
      </c>
      <c r="F98">
        <v>392</v>
      </c>
      <c r="G98" t="s">
        <v>2905</v>
      </c>
      <c r="H98">
        <v>2065</v>
      </c>
      <c r="I98">
        <v>0</v>
      </c>
      <c r="J98">
        <v>0</v>
      </c>
      <c r="K98">
        <v>2065</v>
      </c>
      <c r="L98">
        <v>595</v>
      </c>
      <c r="M98">
        <v>1</v>
      </c>
      <c r="N98">
        <v>594</v>
      </c>
      <c r="O98">
        <v>0</v>
      </c>
      <c r="P98">
        <v>284</v>
      </c>
      <c r="Q98">
        <v>331</v>
      </c>
      <c r="R98">
        <v>4</v>
      </c>
      <c r="S98">
        <v>0</v>
      </c>
      <c r="T98" t="s">
        <v>2904</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2906</v>
      </c>
      <c r="B99">
        <v>1980</v>
      </c>
      <c r="C99" t="s">
        <v>173</v>
      </c>
      <c r="D99" t="s">
        <v>2907</v>
      </c>
      <c r="E99" t="str">
        <f t="shared" si="1"/>
        <v>City of Camp Pendleton South</v>
      </c>
      <c r="F99">
        <v>393</v>
      </c>
      <c r="G99" t="s">
        <v>2908</v>
      </c>
      <c r="H99">
        <v>7952</v>
      </c>
      <c r="I99">
        <v>7952</v>
      </c>
      <c r="J99">
        <v>0</v>
      </c>
      <c r="K99">
        <v>0</v>
      </c>
      <c r="L99">
        <v>1657</v>
      </c>
      <c r="M99">
        <v>5</v>
      </c>
      <c r="N99">
        <v>1652</v>
      </c>
      <c r="O99">
        <v>90000</v>
      </c>
      <c r="P99">
        <v>925</v>
      </c>
      <c r="Q99">
        <v>787</v>
      </c>
      <c r="R99">
        <v>22</v>
      </c>
      <c r="S99">
        <v>0</v>
      </c>
      <c r="T99" t="s">
        <v>2907</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2909</v>
      </c>
      <c r="B100">
        <v>1980</v>
      </c>
      <c r="C100" t="s">
        <v>173</v>
      </c>
      <c r="D100" t="s">
        <v>2910</v>
      </c>
      <c r="E100" t="str">
        <f t="shared" si="1"/>
        <v>City of Canyon Country</v>
      </c>
      <c r="F100">
        <v>396</v>
      </c>
      <c r="G100" t="s">
        <v>2911</v>
      </c>
      <c r="H100">
        <v>15728</v>
      </c>
      <c r="I100">
        <v>0</v>
      </c>
      <c r="J100">
        <v>15728</v>
      </c>
      <c r="K100">
        <v>0</v>
      </c>
      <c r="L100">
        <v>4839</v>
      </c>
      <c r="M100">
        <v>3862</v>
      </c>
      <c r="N100">
        <v>977</v>
      </c>
      <c r="O100">
        <v>85200</v>
      </c>
      <c r="P100">
        <v>4301</v>
      </c>
      <c r="Q100">
        <v>89</v>
      </c>
      <c r="R100">
        <v>245</v>
      </c>
      <c r="S100">
        <v>596</v>
      </c>
      <c r="T100" t="s">
        <v>2910</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2912</v>
      </c>
      <c r="B101">
        <v>1980</v>
      </c>
      <c r="C101" t="s">
        <v>173</v>
      </c>
      <c r="D101" t="s">
        <v>449</v>
      </c>
      <c r="E101" t="str">
        <f t="shared" si="1"/>
        <v>City of Canyon Lake</v>
      </c>
      <c r="F101">
        <v>397</v>
      </c>
      <c r="G101" t="s">
        <v>2913</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2914</v>
      </c>
      <c r="B102">
        <v>1980</v>
      </c>
      <c r="C102" t="s">
        <v>173</v>
      </c>
      <c r="D102" t="s">
        <v>2915</v>
      </c>
      <c r="E102" t="str">
        <f t="shared" si="1"/>
        <v>City of Capistrano Beach</v>
      </c>
      <c r="F102">
        <v>398</v>
      </c>
      <c r="G102" t="s">
        <v>2916</v>
      </c>
      <c r="H102">
        <v>6168</v>
      </c>
      <c r="I102">
        <v>6168</v>
      </c>
      <c r="J102">
        <v>0</v>
      </c>
      <c r="K102">
        <v>0</v>
      </c>
      <c r="L102">
        <v>2335</v>
      </c>
      <c r="M102">
        <v>1508</v>
      </c>
      <c r="N102">
        <v>827</v>
      </c>
      <c r="O102">
        <v>125200</v>
      </c>
      <c r="P102">
        <v>1974</v>
      </c>
      <c r="Q102">
        <v>484</v>
      </c>
      <c r="R102">
        <v>25</v>
      </c>
      <c r="S102">
        <v>148</v>
      </c>
      <c r="T102" t="s">
        <v>2915</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2917</v>
      </c>
      <c r="B103">
        <v>1980</v>
      </c>
      <c r="C103" t="s">
        <v>173</v>
      </c>
      <c r="D103" t="s">
        <v>451</v>
      </c>
      <c r="E103" t="str">
        <f t="shared" si="1"/>
        <v>City of Capitola</v>
      </c>
      <c r="F103">
        <v>400</v>
      </c>
      <c r="G103" t="s">
        <v>2918</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2919</v>
      </c>
      <c r="B104">
        <v>1980</v>
      </c>
      <c r="C104" t="s">
        <v>173</v>
      </c>
      <c r="D104" t="s">
        <v>2920</v>
      </c>
      <c r="E104" t="str">
        <f t="shared" si="1"/>
        <v>City of Cardiff-By-The-Sea</v>
      </c>
      <c r="F104">
        <v>403</v>
      </c>
      <c r="G104" t="s">
        <v>2921</v>
      </c>
      <c r="H104">
        <v>10054</v>
      </c>
      <c r="I104">
        <v>10054</v>
      </c>
      <c r="J104">
        <v>0</v>
      </c>
      <c r="K104">
        <v>0</v>
      </c>
      <c r="L104">
        <v>3892</v>
      </c>
      <c r="M104">
        <v>2336</v>
      </c>
      <c r="N104">
        <v>1556</v>
      </c>
      <c r="O104">
        <v>119500</v>
      </c>
      <c r="P104">
        <v>3564</v>
      </c>
      <c r="Q104">
        <v>525</v>
      </c>
      <c r="R104">
        <v>21</v>
      </c>
      <c r="S104">
        <v>2</v>
      </c>
      <c r="T104" t="s">
        <v>2920</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2922</v>
      </c>
      <c r="B105">
        <v>1980</v>
      </c>
      <c r="C105" t="s">
        <v>173</v>
      </c>
      <c r="D105" t="s">
        <v>453</v>
      </c>
      <c r="E105" t="str">
        <f t="shared" si="1"/>
        <v>City of Carlsbad</v>
      </c>
      <c r="F105">
        <v>405</v>
      </c>
      <c r="G105" t="s">
        <v>2923</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2924</v>
      </c>
      <c r="B106">
        <v>1980</v>
      </c>
      <c r="C106" t="s">
        <v>173</v>
      </c>
      <c r="D106" t="s">
        <v>2925</v>
      </c>
      <c r="E106" t="str">
        <f t="shared" si="1"/>
        <v>City of Carmel-By-The-Sea</v>
      </c>
      <c r="F106">
        <v>410</v>
      </c>
      <c r="G106" t="s">
        <v>2926</v>
      </c>
      <c r="H106">
        <v>4707</v>
      </c>
      <c r="I106">
        <v>4707</v>
      </c>
      <c r="J106">
        <v>0</v>
      </c>
      <c r="K106">
        <v>0</v>
      </c>
      <c r="L106">
        <v>2560</v>
      </c>
      <c r="M106">
        <v>1363</v>
      </c>
      <c r="N106">
        <v>1197</v>
      </c>
      <c r="O106">
        <v>155900</v>
      </c>
      <c r="P106">
        <v>2551</v>
      </c>
      <c r="Q106">
        <v>497</v>
      </c>
      <c r="R106">
        <v>76</v>
      </c>
      <c r="S106">
        <v>0</v>
      </c>
      <c r="T106" t="s">
        <v>2925</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2927</v>
      </c>
      <c r="B107">
        <v>1980</v>
      </c>
      <c r="C107" t="s">
        <v>173</v>
      </c>
      <c r="D107" t="s">
        <v>2928</v>
      </c>
      <c r="E107" t="str">
        <f t="shared" si="1"/>
        <v>City of Carmel Valley</v>
      </c>
      <c r="F107">
        <v>420</v>
      </c>
      <c r="G107" t="s">
        <v>2929</v>
      </c>
      <c r="H107">
        <v>4013</v>
      </c>
      <c r="I107">
        <v>0</v>
      </c>
      <c r="J107">
        <v>4013</v>
      </c>
      <c r="K107">
        <v>0</v>
      </c>
      <c r="L107">
        <v>1600</v>
      </c>
      <c r="M107">
        <v>1132</v>
      </c>
      <c r="N107">
        <v>468</v>
      </c>
      <c r="O107">
        <v>148100</v>
      </c>
      <c r="P107">
        <v>1480</v>
      </c>
      <c r="Q107">
        <v>229</v>
      </c>
      <c r="R107">
        <v>45</v>
      </c>
      <c r="S107">
        <v>5</v>
      </c>
      <c r="T107" t="s">
        <v>2928</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2930</v>
      </c>
      <c r="B108">
        <v>1980</v>
      </c>
      <c r="C108" t="s">
        <v>173</v>
      </c>
      <c r="D108" t="s">
        <v>2931</v>
      </c>
      <c r="E108" t="str">
        <f t="shared" si="1"/>
        <v>City of Carmichael</v>
      </c>
      <c r="F108">
        <v>430</v>
      </c>
      <c r="G108" t="s">
        <v>2932</v>
      </c>
      <c r="H108">
        <v>43108</v>
      </c>
      <c r="I108">
        <v>43108</v>
      </c>
      <c r="J108">
        <v>0</v>
      </c>
      <c r="K108">
        <v>0</v>
      </c>
      <c r="L108">
        <v>16485</v>
      </c>
      <c r="M108">
        <v>10295</v>
      </c>
      <c r="N108">
        <v>6190</v>
      </c>
      <c r="O108">
        <v>81200</v>
      </c>
      <c r="P108">
        <v>13276</v>
      </c>
      <c r="Q108">
        <v>1431</v>
      </c>
      <c r="R108">
        <v>2661</v>
      </c>
      <c r="S108">
        <v>10</v>
      </c>
      <c r="T108" t="s">
        <v>2931</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2933</v>
      </c>
      <c r="B109">
        <v>1980</v>
      </c>
      <c r="C109" t="s">
        <v>173</v>
      </c>
      <c r="D109" t="s">
        <v>457</v>
      </c>
      <c r="E109" t="str">
        <f t="shared" si="1"/>
        <v>City of Carpinteria</v>
      </c>
      <c r="F109">
        <v>433</v>
      </c>
      <c r="G109" t="s">
        <v>2934</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2935</v>
      </c>
      <c r="B110">
        <v>1980</v>
      </c>
      <c r="C110" t="s">
        <v>173</v>
      </c>
      <c r="D110" t="s">
        <v>459</v>
      </c>
      <c r="E110" t="str">
        <f t="shared" si="1"/>
        <v>City of Carson</v>
      </c>
      <c r="F110">
        <v>440</v>
      </c>
      <c r="G110" t="s">
        <v>2936</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2937</v>
      </c>
      <c r="B111">
        <v>1980</v>
      </c>
      <c r="C111" t="s">
        <v>173</v>
      </c>
      <c r="D111" t="s">
        <v>2938</v>
      </c>
      <c r="E111" t="str">
        <f t="shared" si="1"/>
        <v>City of Caruthers</v>
      </c>
      <c r="F111">
        <v>442</v>
      </c>
      <c r="G111" t="s">
        <v>2939</v>
      </c>
      <c r="H111">
        <v>1514</v>
      </c>
      <c r="I111">
        <v>0</v>
      </c>
      <c r="J111">
        <v>0</v>
      </c>
      <c r="K111">
        <v>1514</v>
      </c>
      <c r="L111">
        <v>503</v>
      </c>
      <c r="M111">
        <v>351</v>
      </c>
      <c r="N111">
        <v>152</v>
      </c>
      <c r="O111">
        <v>45500</v>
      </c>
      <c r="P111">
        <v>479</v>
      </c>
      <c r="Q111">
        <v>37</v>
      </c>
      <c r="R111">
        <v>0</v>
      </c>
      <c r="S111">
        <v>8</v>
      </c>
      <c r="T111" t="s">
        <v>2938</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2940</v>
      </c>
      <c r="B112">
        <v>1980</v>
      </c>
      <c r="C112" t="s">
        <v>173</v>
      </c>
      <c r="D112" t="s">
        <v>2941</v>
      </c>
      <c r="E112" t="str">
        <f t="shared" si="1"/>
        <v>City of Casa de Oro-Mount Helix</v>
      </c>
      <c r="F112">
        <v>446</v>
      </c>
      <c r="G112" t="s">
        <v>2942</v>
      </c>
      <c r="H112">
        <v>19651</v>
      </c>
      <c r="I112">
        <v>19651</v>
      </c>
      <c r="J112">
        <v>0</v>
      </c>
      <c r="K112">
        <v>0</v>
      </c>
      <c r="L112">
        <v>6423</v>
      </c>
      <c r="M112">
        <v>5431</v>
      </c>
      <c r="N112">
        <v>992</v>
      </c>
      <c r="O112">
        <v>140100</v>
      </c>
      <c r="P112">
        <v>5978</v>
      </c>
      <c r="Q112">
        <v>366</v>
      </c>
      <c r="R112">
        <v>398</v>
      </c>
      <c r="S112">
        <v>3</v>
      </c>
      <c r="T112" t="s">
        <v>2941</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2943</v>
      </c>
      <c r="B113">
        <v>1980</v>
      </c>
      <c r="C113" t="s">
        <v>173</v>
      </c>
      <c r="D113" t="s">
        <v>2944</v>
      </c>
      <c r="E113" t="str">
        <f t="shared" si="1"/>
        <v>City of Casitas Springs</v>
      </c>
      <c r="F113">
        <v>451</v>
      </c>
      <c r="G113" t="s">
        <v>2945</v>
      </c>
      <c r="H113">
        <v>1038</v>
      </c>
      <c r="I113">
        <v>0</v>
      </c>
      <c r="J113">
        <v>0</v>
      </c>
      <c r="K113">
        <v>1038</v>
      </c>
      <c r="L113">
        <v>417</v>
      </c>
      <c r="M113">
        <v>263</v>
      </c>
      <c r="N113">
        <v>154</v>
      </c>
      <c r="O113">
        <v>64000</v>
      </c>
      <c r="P113">
        <v>302</v>
      </c>
      <c r="Q113">
        <v>54</v>
      </c>
      <c r="R113">
        <v>0</v>
      </c>
      <c r="S113">
        <v>74</v>
      </c>
      <c r="T113" t="s">
        <v>2944</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2946</v>
      </c>
      <c r="B114">
        <v>1980</v>
      </c>
      <c r="C114" t="s">
        <v>173</v>
      </c>
      <c r="D114" t="s">
        <v>2947</v>
      </c>
      <c r="E114" t="str">
        <f t="shared" si="1"/>
        <v>City of Castle Park-Otay</v>
      </c>
      <c r="F114">
        <v>453</v>
      </c>
      <c r="G114" t="s">
        <v>2948</v>
      </c>
      <c r="H114">
        <v>21049</v>
      </c>
      <c r="I114">
        <v>21049</v>
      </c>
      <c r="J114">
        <v>0</v>
      </c>
      <c r="K114">
        <v>0</v>
      </c>
      <c r="L114">
        <v>7887</v>
      </c>
      <c r="M114">
        <v>3511</v>
      </c>
      <c r="N114">
        <v>4376</v>
      </c>
      <c r="O114">
        <v>68800</v>
      </c>
      <c r="P114">
        <v>3733</v>
      </c>
      <c r="Q114">
        <v>671</v>
      </c>
      <c r="R114">
        <v>2435</v>
      </c>
      <c r="S114">
        <v>1405</v>
      </c>
      <c r="T114" t="s">
        <v>2947</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2949</v>
      </c>
      <c r="B115">
        <v>1980</v>
      </c>
      <c r="C115" t="s">
        <v>173</v>
      </c>
      <c r="D115" t="s">
        <v>2950</v>
      </c>
      <c r="E115" t="str">
        <f t="shared" si="1"/>
        <v>City of Castro Valley</v>
      </c>
      <c r="F115">
        <v>455</v>
      </c>
      <c r="G115" t="s">
        <v>2951</v>
      </c>
      <c r="H115">
        <v>44011</v>
      </c>
      <c r="I115">
        <v>44011</v>
      </c>
      <c r="J115">
        <v>0</v>
      </c>
      <c r="K115">
        <v>0</v>
      </c>
      <c r="L115">
        <v>17303</v>
      </c>
      <c r="M115">
        <v>11874</v>
      </c>
      <c r="N115">
        <v>5429</v>
      </c>
      <c r="O115">
        <v>94800</v>
      </c>
      <c r="P115">
        <v>14572</v>
      </c>
      <c r="Q115">
        <v>910</v>
      </c>
      <c r="R115">
        <v>1988</v>
      </c>
      <c r="S115">
        <v>321</v>
      </c>
      <c r="T115" t="s">
        <v>2950</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2952</v>
      </c>
      <c r="B116">
        <v>1980</v>
      </c>
      <c r="C116" t="s">
        <v>173</v>
      </c>
      <c r="D116" t="s">
        <v>2953</v>
      </c>
      <c r="E116" t="str">
        <f t="shared" si="1"/>
        <v>City of Castroville</v>
      </c>
      <c r="F116">
        <v>460</v>
      </c>
      <c r="G116" t="s">
        <v>2954</v>
      </c>
      <c r="H116">
        <v>4396</v>
      </c>
      <c r="I116">
        <v>0</v>
      </c>
      <c r="J116">
        <v>4396</v>
      </c>
      <c r="K116">
        <v>0</v>
      </c>
      <c r="L116">
        <v>1167</v>
      </c>
      <c r="M116">
        <v>567</v>
      </c>
      <c r="N116">
        <v>600</v>
      </c>
      <c r="O116">
        <v>62100</v>
      </c>
      <c r="P116">
        <v>992</v>
      </c>
      <c r="Q116">
        <v>154</v>
      </c>
      <c r="R116">
        <v>66</v>
      </c>
      <c r="S116">
        <v>40</v>
      </c>
      <c r="T116" t="s">
        <v>2953</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2955</v>
      </c>
      <c r="B117">
        <v>1980</v>
      </c>
      <c r="C117" t="s">
        <v>173</v>
      </c>
      <c r="D117" t="s">
        <v>461</v>
      </c>
      <c r="E117" t="str">
        <f t="shared" si="1"/>
        <v>City of Cathedral City</v>
      </c>
      <c r="F117">
        <v>465</v>
      </c>
      <c r="G117" t="s">
        <v>2956</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2957</v>
      </c>
      <c r="B118">
        <v>1980</v>
      </c>
      <c r="C118" t="s">
        <v>173</v>
      </c>
      <c r="D118" t="s">
        <v>2958</v>
      </c>
      <c r="E118" t="str">
        <f t="shared" si="1"/>
        <v>City of Cayucos</v>
      </c>
      <c r="F118">
        <v>467</v>
      </c>
      <c r="G118" t="s">
        <v>2959</v>
      </c>
      <c r="H118">
        <v>2301</v>
      </c>
      <c r="I118">
        <v>0</v>
      </c>
      <c r="J118">
        <v>0</v>
      </c>
      <c r="K118">
        <v>2301</v>
      </c>
      <c r="L118">
        <v>1146</v>
      </c>
      <c r="M118">
        <v>679</v>
      </c>
      <c r="N118">
        <v>467</v>
      </c>
      <c r="O118">
        <v>89300</v>
      </c>
      <c r="P118">
        <v>1350</v>
      </c>
      <c r="Q118">
        <v>293</v>
      </c>
      <c r="R118">
        <v>58</v>
      </c>
      <c r="S118">
        <v>98</v>
      </c>
      <c r="T118" t="s">
        <v>2958</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2960</v>
      </c>
      <c r="B119">
        <v>1980</v>
      </c>
      <c r="C119" t="s">
        <v>173</v>
      </c>
      <c r="D119" t="s">
        <v>2961</v>
      </c>
      <c r="E119" t="str">
        <f t="shared" si="1"/>
        <v>City of Central Valley</v>
      </c>
      <c r="F119">
        <v>475</v>
      </c>
      <c r="G119" t="s">
        <v>2962</v>
      </c>
      <c r="H119">
        <v>3424</v>
      </c>
      <c r="I119">
        <v>3424</v>
      </c>
      <c r="J119">
        <v>0</v>
      </c>
      <c r="K119">
        <v>0</v>
      </c>
      <c r="L119">
        <v>1296</v>
      </c>
      <c r="M119">
        <v>888</v>
      </c>
      <c r="N119">
        <v>408</v>
      </c>
      <c r="O119">
        <v>43600</v>
      </c>
      <c r="P119">
        <v>1159</v>
      </c>
      <c r="Q119">
        <v>101</v>
      </c>
      <c r="R119">
        <v>17</v>
      </c>
      <c r="S119">
        <v>143</v>
      </c>
      <c r="T119" t="s">
        <v>2961</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2963</v>
      </c>
      <c r="B120">
        <v>1980</v>
      </c>
      <c r="C120" t="s">
        <v>173</v>
      </c>
      <c r="D120" t="s">
        <v>463</v>
      </c>
      <c r="E120" t="str">
        <f t="shared" si="1"/>
        <v>City of Ceres</v>
      </c>
      <c r="F120">
        <v>480</v>
      </c>
      <c r="G120" t="s">
        <v>2964</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2965</v>
      </c>
      <c r="B121">
        <v>1980</v>
      </c>
      <c r="C121" t="s">
        <v>173</v>
      </c>
      <c r="D121" t="s">
        <v>465</v>
      </c>
      <c r="E121" t="str">
        <f t="shared" si="1"/>
        <v>City of Cerritos</v>
      </c>
      <c r="F121">
        <v>487</v>
      </c>
      <c r="G121" t="s">
        <v>2966</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2967</v>
      </c>
      <c r="B122">
        <v>1980</v>
      </c>
      <c r="C122" t="s">
        <v>173</v>
      </c>
      <c r="D122" t="s">
        <v>2968</v>
      </c>
      <c r="E122" t="str">
        <f t="shared" si="1"/>
        <v>City of Charter Oak</v>
      </c>
      <c r="F122">
        <v>489</v>
      </c>
      <c r="G122" t="s">
        <v>2969</v>
      </c>
      <c r="H122">
        <v>6840</v>
      </c>
      <c r="I122">
        <v>6840</v>
      </c>
      <c r="J122">
        <v>0</v>
      </c>
      <c r="K122">
        <v>0</v>
      </c>
      <c r="L122">
        <v>2412</v>
      </c>
      <c r="M122">
        <v>1913</v>
      </c>
      <c r="N122">
        <v>499</v>
      </c>
      <c r="O122">
        <v>73900</v>
      </c>
      <c r="P122">
        <v>1786</v>
      </c>
      <c r="Q122">
        <v>141</v>
      </c>
      <c r="R122">
        <v>189</v>
      </c>
      <c r="S122">
        <v>427</v>
      </c>
      <c r="T122" t="s">
        <v>2968</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2970</v>
      </c>
      <c r="B123">
        <v>1980</v>
      </c>
      <c r="C123" t="s">
        <v>173</v>
      </c>
      <c r="D123" t="s">
        <v>2971</v>
      </c>
      <c r="E123" t="str">
        <f t="shared" si="1"/>
        <v>City of Chemeketa Park-Redwood Estates</v>
      </c>
      <c r="F123">
        <v>490</v>
      </c>
      <c r="G123" t="s">
        <v>2972</v>
      </c>
      <c r="H123">
        <v>1847</v>
      </c>
      <c r="I123">
        <v>0</v>
      </c>
      <c r="J123">
        <v>0</v>
      </c>
      <c r="K123">
        <v>1847</v>
      </c>
      <c r="L123">
        <v>715</v>
      </c>
      <c r="M123">
        <v>569</v>
      </c>
      <c r="N123">
        <v>146</v>
      </c>
      <c r="O123">
        <v>108100</v>
      </c>
      <c r="P123">
        <v>695</v>
      </c>
      <c r="Q123">
        <v>61</v>
      </c>
      <c r="R123">
        <v>0</v>
      </c>
      <c r="S123">
        <v>5</v>
      </c>
      <c r="T123" t="s">
        <v>2971</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2973</v>
      </c>
      <c r="B124">
        <v>1980</v>
      </c>
      <c r="C124" t="s">
        <v>173</v>
      </c>
      <c r="D124" t="s">
        <v>2974</v>
      </c>
      <c r="E124" t="str">
        <f t="shared" si="1"/>
        <v>City of Cherryland</v>
      </c>
      <c r="F124">
        <v>492</v>
      </c>
      <c r="G124" t="s">
        <v>2975</v>
      </c>
      <c r="H124">
        <v>9425</v>
      </c>
      <c r="I124">
        <v>9425</v>
      </c>
      <c r="J124">
        <v>0</v>
      </c>
      <c r="K124">
        <v>0</v>
      </c>
      <c r="L124">
        <v>3923</v>
      </c>
      <c r="M124">
        <v>1364</v>
      </c>
      <c r="N124">
        <v>2559</v>
      </c>
      <c r="O124">
        <v>69800</v>
      </c>
      <c r="P124">
        <v>3342</v>
      </c>
      <c r="Q124">
        <v>363</v>
      </c>
      <c r="R124">
        <v>335</v>
      </c>
      <c r="S124">
        <v>38</v>
      </c>
      <c r="T124" t="s">
        <v>2974</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2976</v>
      </c>
      <c r="B125">
        <v>1980</v>
      </c>
      <c r="C125" t="s">
        <v>173</v>
      </c>
      <c r="D125" t="s">
        <v>2977</v>
      </c>
      <c r="E125" t="str">
        <f t="shared" si="1"/>
        <v>City of Cherry Valley</v>
      </c>
      <c r="F125">
        <v>493</v>
      </c>
      <c r="G125" t="s">
        <v>2978</v>
      </c>
      <c r="H125">
        <v>5012</v>
      </c>
      <c r="I125">
        <v>0</v>
      </c>
      <c r="J125">
        <v>5012</v>
      </c>
      <c r="K125">
        <v>0</v>
      </c>
      <c r="L125">
        <v>1852</v>
      </c>
      <c r="M125">
        <v>1584</v>
      </c>
      <c r="N125">
        <v>268</v>
      </c>
      <c r="O125">
        <v>67800</v>
      </c>
      <c r="P125">
        <v>1401</v>
      </c>
      <c r="Q125">
        <v>97</v>
      </c>
      <c r="R125">
        <v>8</v>
      </c>
      <c r="S125">
        <v>481</v>
      </c>
      <c r="T125" t="s">
        <v>2977</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2979</v>
      </c>
      <c r="B126">
        <v>1980</v>
      </c>
      <c r="C126" t="s">
        <v>173</v>
      </c>
      <c r="D126" t="s">
        <v>2980</v>
      </c>
      <c r="E126" t="str">
        <f t="shared" si="1"/>
        <v>City of Chester</v>
      </c>
      <c r="F126">
        <v>495</v>
      </c>
      <c r="G126" t="s">
        <v>2981</v>
      </c>
      <c r="H126">
        <v>1756</v>
      </c>
      <c r="I126">
        <v>0</v>
      </c>
      <c r="J126">
        <v>0</v>
      </c>
      <c r="K126">
        <v>1756</v>
      </c>
      <c r="L126">
        <v>655</v>
      </c>
      <c r="M126">
        <v>450</v>
      </c>
      <c r="N126">
        <v>205</v>
      </c>
      <c r="O126">
        <v>64000</v>
      </c>
      <c r="P126">
        <v>629</v>
      </c>
      <c r="Q126">
        <v>71</v>
      </c>
      <c r="R126">
        <v>9</v>
      </c>
      <c r="S126">
        <v>45</v>
      </c>
      <c r="T126" t="s">
        <v>2980</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2982</v>
      </c>
      <c r="B127">
        <v>1980</v>
      </c>
      <c r="C127" t="s">
        <v>173</v>
      </c>
      <c r="D127" t="s">
        <v>467</v>
      </c>
      <c r="E127" t="str">
        <f t="shared" si="1"/>
        <v>City of Chico</v>
      </c>
      <c r="F127">
        <v>500</v>
      </c>
      <c r="G127" t="s">
        <v>2983</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2984</v>
      </c>
      <c r="B128">
        <v>1980</v>
      </c>
      <c r="C128" t="s">
        <v>173</v>
      </c>
      <c r="D128" t="s">
        <v>2985</v>
      </c>
      <c r="E128" t="str">
        <f t="shared" si="1"/>
        <v>City of Chico North</v>
      </c>
      <c r="F128">
        <v>502</v>
      </c>
      <c r="G128" t="s">
        <v>2986</v>
      </c>
      <c r="H128">
        <v>11733</v>
      </c>
      <c r="I128">
        <v>11733</v>
      </c>
      <c r="J128">
        <v>0</v>
      </c>
      <c r="K128">
        <v>0</v>
      </c>
      <c r="L128">
        <v>4870</v>
      </c>
      <c r="M128">
        <v>2914</v>
      </c>
      <c r="N128">
        <v>1956</v>
      </c>
      <c r="O128">
        <v>67400</v>
      </c>
      <c r="P128">
        <v>3070</v>
      </c>
      <c r="Q128">
        <v>621</v>
      </c>
      <c r="R128">
        <v>668</v>
      </c>
      <c r="S128">
        <v>846</v>
      </c>
      <c r="T128" t="s">
        <v>2985</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2987</v>
      </c>
      <c r="B129">
        <v>1980</v>
      </c>
      <c r="C129" t="s">
        <v>173</v>
      </c>
      <c r="D129" t="s">
        <v>2988</v>
      </c>
      <c r="E129" t="str">
        <f t="shared" si="1"/>
        <v>City of Chico West</v>
      </c>
      <c r="F129">
        <v>507</v>
      </c>
      <c r="G129" t="s">
        <v>2989</v>
      </c>
      <c r="H129">
        <v>6378</v>
      </c>
      <c r="I129">
        <v>6378</v>
      </c>
      <c r="J129">
        <v>0</v>
      </c>
      <c r="K129">
        <v>0</v>
      </c>
      <c r="L129">
        <v>2793</v>
      </c>
      <c r="M129">
        <v>1271</v>
      </c>
      <c r="N129">
        <v>1522</v>
      </c>
      <c r="O129">
        <v>62000</v>
      </c>
      <c r="P129">
        <v>1968</v>
      </c>
      <c r="Q129">
        <v>503</v>
      </c>
      <c r="R129">
        <v>314</v>
      </c>
      <c r="S129">
        <v>132</v>
      </c>
      <c r="T129" t="s">
        <v>2988</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2990</v>
      </c>
      <c r="B130">
        <v>1980</v>
      </c>
      <c r="C130" t="s">
        <v>173</v>
      </c>
      <c r="D130" t="s">
        <v>2991</v>
      </c>
      <c r="E130" t="str">
        <f t="shared" si="1"/>
        <v>City of China Lake</v>
      </c>
      <c r="F130">
        <v>508</v>
      </c>
      <c r="G130" t="s">
        <v>2992</v>
      </c>
      <c r="H130">
        <v>4275</v>
      </c>
      <c r="I130">
        <v>0</v>
      </c>
      <c r="J130">
        <v>4275</v>
      </c>
      <c r="K130">
        <v>0</v>
      </c>
      <c r="L130">
        <v>1328</v>
      </c>
      <c r="M130">
        <v>9</v>
      </c>
      <c r="N130">
        <v>1319</v>
      </c>
      <c r="O130">
        <v>137500</v>
      </c>
      <c r="P130">
        <v>816</v>
      </c>
      <c r="Q130">
        <v>703</v>
      </c>
      <c r="R130">
        <v>81</v>
      </c>
      <c r="S130">
        <v>4</v>
      </c>
      <c r="T130" t="s">
        <v>2991</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2993</v>
      </c>
      <c r="B131">
        <v>1980</v>
      </c>
      <c r="C131" t="s">
        <v>173</v>
      </c>
      <c r="D131" t="s">
        <v>469</v>
      </c>
      <c r="E131" t="str">
        <f t="shared" si="1"/>
        <v>City of Chino</v>
      </c>
      <c r="F131">
        <v>510</v>
      </c>
      <c r="G131" t="s">
        <v>2994</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2995</v>
      </c>
      <c r="B132">
        <v>1980</v>
      </c>
      <c r="C132" t="s">
        <v>173</v>
      </c>
      <c r="D132" t="s">
        <v>473</v>
      </c>
      <c r="E132" t="str">
        <f t="shared" si="1"/>
        <v>City of Chowchilla</v>
      </c>
      <c r="F132">
        <v>515</v>
      </c>
      <c r="G132" t="s">
        <v>2996</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2997</v>
      </c>
      <c r="B133">
        <v>1980</v>
      </c>
      <c r="C133" t="s">
        <v>173</v>
      </c>
      <c r="D133" t="s">
        <v>475</v>
      </c>
      <c r="E133" t="str">
        <f t="shared" ref="E133:E196" si="2">_xlfn.CONCAT("City of ",D133)</f>
        <v>City of Chula Vista</v>
      </c>
      <c r="F133">
        <v>525</v>
      </c>
      <c r="G133" t="s">
        <v>2998</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2999</v>
      </c>
      <c r="B134">
        <v>1980</v>
      </c>
      <c r="C134" t="s">
        <v>173</v>
      </c>
      <c r="D134" t="s">
        <v>3000</v>
      </c>
      <c r="E134" t="str">
        <f t="shared" si="2"/>
        <v>City of Citrus</v>
      </c>
      <c r="F134">
        <v>528</v>
      </c>
      <c r="G134" t="s">
        <v>3001</v>
      </c>
      <c r="H134">
        <v>12450</v>
      </c>
      <c r="I134">
        <v>12450</v>
      </c>
      <c r="J134">
        <v>0</v>
      </c>
      <c r="K134">
        <v>0</v>
      </c>
      <c r="L134">
        <v>3769</v>
      </c>
      <c r="M134">
        <v>2810</v>
      </c>
      <c r="N134">
        <v>959</v>
      </c>
      <c r="O134">
        <v>64800</v>
      </c>
      <c r="P134">
        <v>3240</v>
      </c>
      <c r="Q134">
        <v>163</v>
      </c>
      <c r="R134">
        <v>403</v>
      </c>
      <c r="S134">
        <v>114</v>
      </c>
      <c r="T134" t="s">
        <v>3000</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3002</v>
      </c>
      <c r="B135">
        <v>1980</v>
      </c>
      <c r="C135" t="s">
        <v>173</v>
      </c>
      <c r="D135" t="s">
        <v>477</v>
      </c>
      <c r="E135" t="str">
        <f t="shared" si="2"/>
        <v>City of Citrus Heights</v>
      </c>
      <c r="F135">
        <v>530</v>
      </c>
      <c r="G135" t="s">
        <v>3003</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3004</v>
      </c>
      <c r="B136">
        <v>1980</v>
      </c>
      <c r="C136" t="s">
        <v>173</v>
      </c>
      <c r="D136" t="s">
        <v>479</v>
      </c>
      <c r="E136" t="str">
        <f t="shared" si="2"/>
        <v>City of Claremont</v>
      </c>
      <c r="F136">
        <v>535</v>
      </c>
      <c r="G136" t="s">
        <v>3005</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3006</v>
      </c>
      <c r="B137">
        <v>1980</v>
      </c>
      <c r="C137" t="s">
        <v>173</v>
      </c>
      <c r="D137" t="s">
        <v>481</v>
      </c>
      <c r="E137" t="str">
        <f t="shared" si="2"/>
        <v>City of Clayton</v>
      </c>
      <c r="F137">
        <v>537</v>
      </c>
      <c r="G137" t="s">
        <v>3007</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3008</v>
      </c>
      <c r="B138">
        <v>1980</v>
      </c>
      <c r="C138" t="s">
        <v>173</v>
      </c>
      <c r="D138" t="s">
        <v>3009</v>
      </c>
      <c r="E138" t="str">
        <f t="shared" si="2"/>
        <v>City of Clearlake Highlands-Clearlake Park</v>
      </c>
      <c r="F138">
        <v>539</v>
      </c>
      <c r="G138" t="s">
        <v>3010</v>
      </c>
      <c r="H138">
        <v>4983</v>
      </c>
      <c r="I138">
        <v>0</v>
      </c>
      <c r="J138">
        <v>4983</v>
      </c>
      <c r="K138">
        <v>0</v>
      </c>
      <c r="L138">
        <v>2307</v>
      </c>
      <c r="M138">
        <v>1605</v>
      </c>
      <c r="N138">
        <v>702</v>
      </c>
      <c r="O138">
        <v>42300</v>
      </c>
      <c r="P138">
        <v>1842</v>
      </c>
      <c r="Q138">
        <v>388</v>
      </c>
      <c r="R138">
        <v>67</v>
      </c>
      <c r="S138">
        <v>954</v>
      </c>
      <c r="T138" t="s">
        <v>3009</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3011</v>
      </c>
      <c r="B139">
        <v>1980</v>
      </c>
      <c r="C139" t="s">
        <v>173</v>
      </c>
      <c r="D139" t="s">
        <v>3012</v>
      </c>
      <c r="E139" t="str">
        <f t="shared" si="2"/>
        <v>City of Clearlake Oaks</v>
      </c>
      <c r="F139">
        <v>540</v>
      </c>
      <c r="G139" t="s">
        <v>3013</v>
      </c>
      <c r="H139">
        <v>1610</v>
      </c>
      <c r="I139">
        <v>0</v>
      </c>
      <c r="J139">
        <v>0</v>
      </c>
      <c r="K139">
        <v>1610</v>
      </c>
      <c r="L139">
        <v>748</v>
      </c>
      <c r="M139">
        <v>581</v>
      </c>
      <c r="N139">
        <v>167</v>
      </c>
      <c r="O139">
        <v>58600</v>
      </c>
      <c r="P139">
        <v>932</v>
      </c>
      <c r="Q139">
        <v>78</v>
      </c>
      <c r="R139">
        <v>2</v>
      </c>
      <c r="S139">
        <v>306</v>
      </c>
      <c r="T139" t="s">
        <v>3012</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3014</v>
      </c>
      <c r="B140">
        <v>1980</v>
      </c>
      <c r="C140" t="s">
        <v>173</v>
      </c>
      <c r="D140" t="s">
        <v>485</v>
      </c>
      <c r="E140" t="str">
        <f t="shared" si="2"/>
        <v>City of Cloverdale</v>
      </c>
      <c r="F140">
        <v>545</v>
      </c>
      <c r="G140" t="s">
        <v>3015</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3016</v>
      </c>
      <c r="B141">
        <v>1980</v>
      </c>
      <c r="C141" t="s">
        <v>173</v>
      </c>
      <c r="D141" t="s">
        <v>487</v>
      </c>
      <c r="E141" t="str">
        <f t="shared" si="2"/>
        <v>City of Clovis</v>
      </c>
      <c r="F141">
        <v>550</v>
      </c>
      <c r="G141" t="s">
        <v>3017</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3018</v>
      </c>
      <c r="B142">
        <v>1980</v>
      </c>
      <c r="C142" t="s">
        <v>173</v>
      </c>
      <c r="D142" t="s">
        <v>489</v>
      </c>
      <c r="E142" t="str">
        <f t="shared" si="2"/>
        <v>City of Coachella</v>
      </c>
      <c r="F142">
        <v>555</v>
      </c>
      <c r="G142" t="s">
        <v>3019</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3020</v>
      </c>
      <c r="B143">
        <v>1980</v>
      </c>
      <c r="C143" t="s">
        <v>173</v>
      </c>
      <c r="D143" t="s">
        <v>491</v>
      </c>
      <c r="E143" t="str">
        <f t="shared" si="2"/>
        <v>City of Coalinga</v>
      </c>
      <c r="F143">
        <v>560</v>
      </c>
      <c r="G143" t="s">
        <v>3021</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3022</v>
      </c>
      <c r="B144">
        <v>1980</v>
      </c>
      <c r="C144" t="s">
        <v>173</v>
      </c>
      <c r="D144" t="s">
        <v>493</v>
      </c>
      <c r="E144" t="str">
        <f t="shared" si="2"/>
        <v>City of Colfax</v>
      </c>
      <c r="F144">
        <v>565</v>
      </c>
      <c r="G144" t="s">
        <v>3023</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3024</v>
      </c>
      <c r="B145">
        <v>1980</v>
      </c>
      <c r="C145" t="s">
        <v>173</v>
      </c>
      <c r="D145" t="s">
        <v>3025</v>
      </c>
      <c r="E145" t="str">
        <f t="shared" si="2"/>
        <v>City of Colma</v>
      </c>
      <c r="F145">
        <v>575</v>
      </c>
      <c r="G145" t="s">
        <v>3026</v>
      </c>
      <c r="H145">
        <v>395</v>
      </c>
      <c r="I145">
        <v>395</v>
      </c>
      <c r="J145">
        <v>0</v>
      </c>
      <c r="K145">
        <v>0</v>
      </c>
      <c r="L145">
        <v>161</v>
      </c>
      <c r="M145">
        <v>54</v>
      </c>
      <c r="N145">
        <v>107</v>
      </c>
      <c r="O145">
        <v>75300</v>
      </c>
      <c r="P145">
        <v>119</v>
      </c>
      <c r="Q145">
        <v>47</v>
      </c>
      <c r="R145">
        <v>0</v>
      </c>
      <c r="S145">
        <v>0</v>
      </c>
      <c r="T145" t="s">
        <v>3025</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3027</v>
      </c>
      <c r="B146">
        <v>1980</v>
      </c>
      <c r="C146" t="s">
        <v>173</v>
      </c>
      <c r="D146" t="s">
        <v>495</v>
      </c>
      <c r="E146" t="str">
        <f t="shared" si="2"/>
        <v>City of Colton</v>
      </c>
      <c r="F146">
        <v>580</v>
      </c>
      <c r="G146" t="s">
        <v>3028</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3029</v>
      </c>
      <c r="B147">
        <v>1980</v>
      </c>
      <c r="C147" t="s">
        <v>173</v>
      </c>
      <c r="D147" t="s">
        <v>497</v>
      </c>
      <c r="E147" t="str">
        <f t="shared" si="2"/>
        <v>City of Colusa</v>
      </c>
      <c r="F147">
        <v>585</v>
      </c>
      <c r="G147" t="s">
        <v>3030</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3031</v>
      </c>
      <c r="B148">
        <v>1980</v>
      </c>
      <c r="C148" t="s">
        <v>173</v>
      </c>
      <c r="D148" t="s">
        <v>499</v>
      </c>
      <c r="E148" t="str">
        <f t="shared" si="2"/>
        <v>City of Commerce</v>
      </c>
      <c r="F148">
        <v>587</v>
      </c>
      <c r="G148" t="s">
        <v>3032</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3033</v>
      </c>
      <c r="B149">
        <v>1980</v>
      </c>
      <c r="C149" t="s">
        <v>173</v>
      </c>
      <c r="D149" t="s">
        <v>501</v>
      </c>
      <c r="E149" t="str">
        <f t="shared" si="2"/>
        <v>City of Compton</v>
      </c>
      <c r="F149">
        <v>590</v>
      </c>
      <c r="G149" t="s">
        <v>3034</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3035</v>
      </c>
      <c r="B150">
        <v>1980</v>
      </c>
      <c r="C150" t="s">
        <v>173</v>
      </c>
      <c r="D150" t="s">
        <v>503</v>
      </c>
      <c r="E150" t="str">
        <f t="shared" si="2"/>
        <v>City of Concord</v>
      </c>
      <c r="F150">
        <v>595</v>
      </c>
      <c r="G150" t="s">
        <v>3036</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3037</v>
      </c>
      <c r="B151">
        <v>1980</v>
      </c>
      <c r="C151" t="s">
        <v>173</v>
      </c>
      <c r="D151" t="s">
        <v>505</v>
      </c>
      <c r="E151" t="str">
        <f t="shared" si="2"/>
        <v>City of Corcoran</v>
      </c>
      <c r="F151">
        <v>600</v>
      </c>
      <c r="G151" t="s">
        <v>3038</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3039</v>
      </c>
      <c r="B152">
        <v>1980</v>
      </c>
      <c r="C152" t="s">
        <v>173</v>
      </c>
      <c r="D152" t="s">
        <v>507</v>
      </c>
      <c r="E152" t="str">
        <f t="shared" si="2"/>
        <v>City of Corning</v>
      </c>
      <c r="F152">
        <v>605</v>
      </c>
      <c r="G152" t="s">
        <v>3040</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3041</v>
      </c>
      <c r="B153">
        <v>1980</v>
      </c>
      <c r="C153" t="s">
        <v>173</v>
      </c>
      <c r="D153" t="s">
        <v>509</v>
      </c>
      <c r="E153" t="str">
        <f t="shared" si="2"/>
        <v>City of Corona</v>
      </c>
      <c r="F153">
        <v>610</v>
      </c>
      <c r="G153" t="s">
        <v>3042</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3043</v>
      </c>
      <c r="B154">
        <v>1980</v>
      </c>
      <c r="C154" t="s">
        <v>173</v>
      </c>
      <c r="D154" t="s">
        <v>511</v>
      </c>
      <c r="E154" t="str">
        <f t="shared" si="2"/>
        <v>City of Coronado</v>
      </c>
      <c r="F154">
        <v>615</v>
      </c>
      <c r="G154" t="s">
        <v>3044</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3045</v>
      </c>
      <c r="B155">
        <v>1980</v>
      </c>
      <c r="C155" t="s">
        <v>173</v>
      </c>
      <c r="D155" t="s">
        <v>513</v>
      </c>
      <c r="E155" t="str">
        <f t="shared" si="2"/>
        <v>City of Corte Madera</v>
      </c>
      <c r="F155">
        <v>620</v>
      </c>
      <c r="G155" t="s">
        <v>3046</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3047</v>
      </c>
      <c r="B156">
        <v>1980</v>
      </c>
      <c r="C156" t="s">
        <v>173</v>
      </c>
      <c r="D156" t="s">
        <v>515</v>
      </c>
      <c r="E156" t="str">
        <f t="shared" si="2"/>
        <v>City of Costa Mesa</v>
      </c>
      <c r="F156">
        <v>625</v>
      </c>
      <c r="G156" t="s">
        <v>3048</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3049</v>
      </c>
      <c r="B157">
        <v>1980</v>
      </c>
      <c r="C157" t="s">
        <v>173</v>
      </c>
      <c r="D157" t="s">
        <v>517</v>
      </c>
      <c r="E157" t="str">
        <f t="shared" si="2"/>
        <v>City of Cotati</v>
      </c>
      <c r="F157">
        <v>628</v>
      </c>
      <c r="G157" t="s">
        <v>3050</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3051</v>
      </c>
      <c r="B158">
        <v>1980</v>
      </c>
      <c r="C158" t="s">
        <v>173</v>
      </c>
      <c r="D158" t="s">
        <v>3052</v>
      </c>
      <c r="E158" t="str">
        <f t="shared" si="2"/>
        <v>City of Cottonwood</v>
      </c>
      <c r="F158">
        <v>631</v>
      </c>
      <c r="G158" t="s">
        <v>3053</v>
      </c>
      <c r="H158">
        <v>1553</v>
      </c>
      <c r="I158">
        <v>0</v>
      </c>
      <c r="J158">
        <v>0</v>
      </c>
      <c r="K158">
        <v>1553</v>
      </c>
      <c r="L158">
        <v>606</v>
      </c>
      <c r="M158">
        <v>423</v>
      </c>
      <c r="N158">
        <v>183</v>
      </c>
      <c r="O158">
        <v>44300</v>
      </c>
      <c r="P158">
        <v>441</v>
      </c>
      <c r="Q158">
        <v>58</v>
      </c>
      <c r="R158">
        <v>5</v>
      </c>
      <c r="S158">
        <v>146</v>
      </c>
      <c r="T158" t="s">
        <v>3052</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3054</v>
      </c>
      <c r="B159">
        <v>1980</v>
      </c>
      <c r="C159" t="s">
        <v>173</v>
      </c>
      <c r="D159" t="s">
        <v>3055</v>
      </c>
      <c r="E159" t="str">
        <f t="shared" si="2"/>
        <v>City of Country Club</v>
      </c>
      <c r="F159">
        <v>633</v>
      </c>
      <c r="G159" t="s">
        <v>3056</v>
      </c>
      <c r="H159">
        <v>9585</v>
      </c>
      <c r="I159">
        <v>9585</v>
      </c>
      <c r="J159">
        <v>0</v>
      </c>
      <c r="K159">
        <v>0</v>
      </c>
      <c r="L159">
        <v>3686</v>
      </c>
      <c r="M159">
        <v>2916</v>
      </c>
      <c r="N159">
        <v>770</v>
      </c>
      <c r="O159">
        <v>46700</v>
      </c>
      <c r="P159">
        <v>3679</v>
      </c>
      <c r="Q159">
        <v>111</v>
      </c>
      <c r="R159">
        <v>38</v>
      </c>
      <c r="S159">
        <v>3</v>
      </c>
      <c r="T159" t="s">
        <v>3055</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3057</v>
      </c>
      <c r="B160">
        <v>1980</v>
      </c>
      <c r="C160" t="s">
        <v>173</v>
      </c>
      <c r="D160" t="s">
        <v>3058</v>
      </c>
      <c r="E160" t="str">
        <f t="shared" si="2"/>
        <v>City of Covelo</v>
      </c>
      <c r="F160">
        <v>634</v>
      </c>
      <c r="G160" t="s">
        <v>3059</v>
      </c>
      <c r="H160">
        <v>1448</v>
      </c>
      <c r="I160">
        <v>0</v>
      </c>
      <c r="J160">
        <v>0</v>
      </c>
      <c r="K160">
        <v>1448</v>
      </c>
      <c r="L160">
        <v>490</v>
      </c>
      <c r="M160">
        <v>334</v>
      </c>
      <c r="N160">
        <v>156</v>
      </c>
      <c r="O160">
        <v>50600</v>
      </c>
      <c r="P160">
        <v>409</v>
      </c>
      <c r="Q160">
        <v>38</v>
      </c>
      <c r="R160">
        <v>2</v>
      </c>
      <c r="S160">
        <v>118</v>
      </c>
      <c r="T160" t="s">
        <v>3058</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3060</v>
      </c>
      <c r="B161">
        <v>1980</v>
      </c>
      <c r="C161" t="s">
        <v>173</v>
      </c>
      <c r="D161" t="s">
        <v>519</v>
      </c>
      <c r="E161" t="str">
        <f t="shared" si="2"/>
        <v>City of Covina</v>
      </c>
      <c r="F161">
        <v>635</v>
      </c>
      <c r="G161" t="s">
        <v>3061</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3062</v>
      </c>
      <c r="B162">
        <v>1980</v>
      </c>
      <c r="C162" t="s">
        <v>173</v>
      </c>
      <c r="D162" t="s">
        <v>521</v>
      </c>
      <c r="E162" t="str">
        <f t="shared" si="2"/>
        <v>City of Crescent City</v>
      </c>
      <c r="F162">
        <v>640</v>
      </c>
      <c r="G162" t="s">
        <v>3063</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3064</v>
      </c>
      <c r="B163">
        <v>1980</v>
      </c>
      <c r="C163" t="s">
        <v>173</v>
      </c>
      <c r="D163" t="s">
        <v>3065</v>
      </c>
      <c r="E163" t="str">
        <f t="shared" si="2"/>
        <v>City of Crescent North</v>
      </c>
      <c r="F163">
        <v>647</v>
      </c>
      <c r="G163" t="s">
        <v>3066</v>
      </c>
      <c r="H163">
        <v>2846</v>
      </c>
      <c r="I163">
        <v>0</v>
      </c>
      <c r="J163">
        <v>2846</v>
      </c>
      <c r="K163">
        <v>0</v>
      </c>
      <c r="L163">
        <v>1071</v>
      </c>
      <c r="M163">
        <v>734</v>
      </c>
      <c r="N163">
        <v>337</v>
      </c>
      <c r="O163">
        <v>41500</v>
      </c>
      <c r="P163">
        <v>1021</v>
      </c>
      <c r="Q163">
        <v>69</v>
      </c>
      <c r="R163">
        <v>7</v>
      </c>
      <c r="S163">
        <v>72</v>
      </c>
      <c r="T163" t="s">
        <v>3065</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3067</v>
      </c>
      <c r="B164">
        <v>1980</v>
      </c>
      <c r="C164" t="s">
        <v>173</v>
      </c>
      <c r="D164" t="s">
        <v>3068</v>
      </c>
      <c r="E164" t="str">
        <f t="shared" si="2"/>
        <v>City of Crestline</v>
      </c>
      <c r="F164">
        <v>649</v>
      </c>
      <c r="G164" t="s">
        <v>3069</v>
      </c>
      <c r="H164">
        <v>6715</v>
      </c>
      <c r="I164">
        <v>0</v>
      </c>
      <c r="J164">
        <v>6715</v>
      </c>
      <c r="K164">
        <v>0</v>
      </c>
      <c r="L164">
        <v>2475</v>
      </c>
      <c r="M164">
        <v>1859</v>
      </c>
      <c r="N164">
        <v>616</v>
      </c>
      <c r="O164">
        <v>69500</v>
      </c>
      <c r="P164">
        <v>4977</v>
      </c>
      <c r="Q164">
        <v>268</v>
      </c>
      <c r="R164">
        <v>41</v>
      </c>
      <c r="S164">
        <v>126</v>
      </c>
      <c r="T164" t="s">
        <v>3068</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3070</v>
      </c>
      <c r="B165">
        <v>1980</v>
      </c>
      <c r="C165" t="s">
        <v>173</v>
      </c>
      <c r="D165" t="s">
        <v>3071</v>
      </c>
      <c r="E165" t="str">
        <f t="shared" si="2"/>
        <v>City of Cudahy</v>
      </c>
      <c r="F165">
        <v>658</v>
      </c>
      <c r="G165" t="s">
        <v>3072</v>
      </c>
      <c r="H165">
        <v>17984</v>
      </c>
      <c r="I165">
        <v>17984</v>
      </c>
      <c r="J165">
        <v>0</v>
      </c>
      <c r="K165">
        <v>0</v>
      </c>
      <c r="L165">
        <v>5071</v>
      </c>
      <c r="M165">
        <v>939</v>
      </c>
      <c r="N165">
        <v>4132</v>
      </c>
      <c r="O165">
        <v>62800</v>
      </c>
      <c r="P165">
        <v>2912</v>
      </c>
      <c r="Q165">
        <v>842</v>
      </c>
      <c r="R165">
        <v>1157</v>
      </c>
      <c r="S165">
        <v>347</v>
      </c>
      <c r="T165" t="s">
        <v>3071</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3073</v>
      </c>
      <c r="B166">
        <v>1980</v>
      </c>
      <c r="C166" t="s">
        <v>173</v>
      </c>
      <c r="D166" t="s">
        <v>523</v>
      </c>
      <c r="E166" t="str">
        <f t="shared" si="2"/>
        <v>City of Culver City</v>
      </c>
      <c r="F166">
        <v>665</v>
      </c>
      <c r="G166" t="s">
        <v>3074</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3075</v>
      </c>
      <c r="B167">
        <v>1980</v>
      </c>
      <c r="C167" t="s">
        <v>173</v>
      </c>
      <c r="D167" t="s">
        <v>525</v>
      </c>
      <c r="E167" t="str">
        <f t="shared" si="2"/>
        <v>City of Cupertino</v>
      </c>
      <c r="F167">
        <v>670</v>
      </c>
      <c r="G167" t="s">
        <v>3076</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3077</v>
      </c>
      <c r="B168">
        <v>1980</v>
      </c>
      <c r="C168" t="s">
        <v>173</v>
      </c>
      <c r="D168" t="s">
        <v>3078</v>
      </c>
      <c r="E168" t="str">
        <f t="shared" si="2"/>
        <v>City of Cutler</v>
      </c>
      <c r="F168">
        <v>675</v>
      </c>
      <c r="G168" t="s">
        <v>3079</v>
      </c>
      <c r="H168">
        <v>3149</v>
      </c>
      <c r="I168">
        <v>0</v>
      </c>
      <c r="J168">
        <v>3149</v>
      </c>
      <c r="K168">
        <v>0</v>
      </c>
      <c r="L168">
        <v>770</v>
      </c>
      <c r="M168">
        <v>435</v>
      </c>
      <c r="N168">
        <v>335</v>
      </c>
      <c r="O168">
        <v>34600</v>
      </c>
      <c r="P168">
        <v>679</v>
      </c>
      <c r="Q168">
        <v>97</v>
      </c>
      <c r="R168">
        <v>21</v>
      </c>
      <c r="S168">
        <v>2</v>
      </c>
      <c r="T168" t="s">
        <v>3078</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3080</v>
      </c>
      <c r="B169">
        <v>1980</v>
      </c>
      <c r="C169" t="s">
        <v>173</v>
      </c>
      <c r="D169" t="s">
        <v>3081</v>
      </c>
      <c r="E169" t="str">
        <f t="shared" si="2"/>
        <v>City of Cutten</v>
      </c>
      <c r="F169">
        <v>680</v>
      </c>
      <c r="G169" t="s">
        <v>3082</v>
      </c>
      <c r="H169">
        <v>2375</v>
      </c>
      <c r="I169">
        <v>0</v>
      </c>
      <c r="J169">
        <v>0</v>
      </c>
      <c r="K169">
        <v>2375</v>
      </c>
      <c r="L169">
        <v>905</v>
      </c>
      <c r="M169">
        <v>557</v>
      </c>
      <c r="N169">
        <v>348</v>
      </c>
      <c r="O169">
        <v>62400</v>
      </c>
      <c r="P169">
        <v>754</v>
      </c>
      <c r="Q169">
        <v>171</v>
      </c>
      <c r="R169">
        <v>0</v>
      </c>
      <c r="S169">
        <v>2</v>
      </c>
      <c r="T169" t="s">
        <v>3081</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3083</v>
      </c>
      <c r="B170">
        <v>1980</v>
      </c>
      <c r="C170" t="s">
        <v>173</v>
      </c>
      <c r="D170" t="s">
        <v>527</v>
      </c>
      <c r="E170" t="str">
        <f t="shared" si="2"/>
        <v>City of Cypress</v>
      </c>
      <c r="F170">
        <v>685</v>
      </c>
      <c r="G170" t="s">
        <v>3084</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3085</v>
      </c>
      <c r="B171">
        <v>1980</v>
      </c>
      <c r="C171" t="s">
        <v>173</v>
      </c>
      <c r="D171" t="s">
        <v>529</v>
      </c>
      <c r="E171" t="str">
        <f t="shared" si="2"/>
        <v>City of Daly City</v>
      </c>
      <c r="F171">
        <v>700</v>
      </c>
      <c r="G171" t="s">
        <v>3086</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3087</v>
      </c>
      <c r="B172">
        <v>1980</v>
      </c>
      <c r="C172" t="s">
        <v>173</v>
      </c>
      <c r="D172" t="s">
        <v>531</v>
      </c>
      <c r="E172" t="str">
        <f t="shared" si="2"/>
        <v>City of Dana Point</v>
      </c>
      <c r="F172">
        <v>705</v>
      </c>
      <c r="G172" t="s">
        <v>3088</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3089</v>
      </c>
      <c r="B173">
        <v>1980</v>
      </c>
      <c r="C173" t="s">
        <v>173</v>
      </c>
      <c r="D173" t="s">
        <v>533</v>
      </c>
      <c r="E173" t="str">
        <f t="shared" si="2"/>
        <v>City of Danville</v>
      </c>
      <c r="F173">
        <v>706</v>
      </c>
      <c r="G173" t="s">
        <v>3090</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3091</v>
      </c>
      <c r="B174">
        <v>1980</v>
      </c>
      <c r="C174" t="s">
        <v>173</v>
      </c>
      <c r="D174" t="s">
        <v>535</v>
      </c>
      <c r="E174" t="str">
        <f t="shared" si="2"/>
        <v>City of Davis</v>
      </c>
      <c r="F174">
        <v>715</v>
      </c>
      <c r="G174" t="s">
        <v>3092</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3093</v>
      </c>
      <c r="B175">
        <v>1980</v>
      </c>
      <c r="C175" t="s">
        <v>173</v>
      </c>
      <c r="D175" t="s">
        <v>3094</v>
      </c>
      <c r="E175" t="str">
        <f t="shared" si="2"/>
        <v>City of Deer Park</v>
      </c>
      <c r="F175">
        <v>716</v>
      </c>
      <c r="G175" t="s">
        <v>3095</v>
      </c>
      <c r="H175">
        <v>1454</v>
      </c>
      <c r="I175">
        <v>0</v>
      </c>
      <c r="J175">
        <v>0</v>
      </c>
      <c r="K175">
        <v>1454</v>
      </c>
      <c r="L175">
        <v>556</v>
      </c>
      <c r="M175">
        <v>331</v>
      </c>
      <c r="N175">
        <v>225</v>
      </c>
      <c r="O175">
        <v>105500</v>
      </c>
      <c r="P175">
        <v>454</v>
      </c>
      <c r="Q175">
        <v>114</v>
      </c>
      <c r="R175">
        <v>3</v>
      </c>
      <c r="S175">
        <v>11</v>
      </c>
      <c r="T175" t="s">
        <v>3094</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3096</v>
      </c>
      <c r="B176">
        <v>1980</v>
      </c>
      <c r="C176" t="s">
        <v>173</v>
      </c>
      <c r="D176" t="s">
        <v>3097</v>
      </c>
      <c r="E176" t="str">
        <f t="shared" si="2"/>
        <v>City of Del Aire</v>
      </c>
      <c r="F176">
        <v>717</v>
      </c>
      <c r="G176" t="s">
        <v>3098</v>
      </c>
      <c r="H176">
        <v>8487</v>
      </c>
      <c r="I176">
        <v>8487</v>
      </c>
      <c r="J176">
        <v>0</v>
      </c>
      <c r="K176">
        <v>0</v>
      </c>
      <c r="L176">
        <v>2947</v>
      </c>
      <c r="M176">
        <v>2307</v>
      </c>
      <c r="N176">
        <v>640</v>
      </c>
      <c r="O176">
        <v>86200</v>
      </c>
      <c r="P176">
        <v>2823</v>
      </c>
      <c r="Q176">
        <v>111</v>
      </c>
      <c r="R176">
        <v>68</v>
      </c>
      <c r="S176">
        <v>0</v>
      </c>
      <c r="T176" t="s">
        <v>3097</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3099</v>
      </c>
      <c r="B177">
        <v>1980</v>
      </c>
      <c r="C177" t="s">
        <v>173</v>
      </c>
      <c r="D177" t="s">
        <v>537</v>
      </c>
      <c r="E177" t="str">
        <f t="shared" si="2"/>
        <v>City of Delano</v>
      </c>
      <c r="F177">
        <v>725</v>
      </c>
      <c r="G177" t="s">
        <v>3100</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3101</v>
      </c>
      <c r="B178">
        <v>1980</v>
      </c>
      <c r="C178" t="s">
        <v>173</v>
      </c>
      <c r="D178" t="s">
        <v>3102</v>
      </c>
      <c r="E178" t="str">
        <f t="shared" si="2"/>
        <v>City of Delhi</v>
      </c>
      <c r="F178">
        <v>730</v>
      </c>
      <c r="G178" t="s">
        <v>3103</v>
      </c>
      <c r="H178">
        <v>2832</v>
      </c>
      <c r="I178">
        <v>0</v>
      </c>
      <c r="J178">
        <v>2832</v>
      </c>
      <c r="K178">
        <v>0</v>
      </c>
      <c r="L178">
        <v>902</v>
      </c>
      <c r="M178">
        <v>660</v>
      </c>
      <c r="N178">
        <v>242</v>
      </c>
      <c r="O178">
        <v>44100</v>
      </c>
      <c r="P178">
        <v>797</v>
      </c>
      <c r="Q178">
        <v>74</v>
      </c>
      <c r="R178">
        <v>2</v>
      </c>
      <c r="S178">
        <v>92</v>
      </c>
      <c r="T178" t="s">
        <v>3102</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3104</v>
      </c>
      <c r="B179">
        <v>1980</v>
      </c>
      <c r="C179" t="s">
        <v>173</v>
      </c>
      <c r="D179" t="s">
        <v>3105</v>
      </c>
      <c r="E179" t="str">
        <f t="shared" si="2"/>
        <v>City of Del Mar</v>
      </c>
      <c r="F179">
        <v>735</v>
      </c>
      <c r="G179" t="s">
        <v>3106</v>
      </c>
      <c r="H179">
        <v>5017</v>
      </c>
      <c r="I179">
        <v>5017</v>
      </c>
      <c r="J179">
        <v>0</v>
      </c>
      <c r="K179">
        <v>0</v>
      </c>
      <c r="L179">
        <v>2253</v>
      </c>
      <c r="M179">
        <v>1037</v>
      </c>
      <c r="N179">
        <v>1216</v>
      </c>
      <c r="O179">
        <v>200100</v>
      </c>
      <c r="P179">
        <v>1662</v>
      </c>
      <c r="Q179">
        <v>273</v>
      </c>
      <c r="R179">
        <v>471</v>
      </c>
      <c r="S179">
        <v>42</v>
      </c>
      <c r="T179" t="s">
        <v>3105</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3107</v>
      </c>
      <c r="B180">
        <v>1980</v>
      </c>
      <c r="C180" t="s">
        <v>173</v>
      </c>
      <c r="D180" t="s">
        <v>3108</v>
      </c>
      <c r="E180" t="str">
        <f t="shared" si="2"/>
        <v>City of Del Rey</v>
      </c>
      <c r="F180">
        <v>752</v>
      </c>
      <c r="G180" t="s">
        <v>3109</v>
      </c>
      <c r="H180">
        <v>1126</v>
      </c>
      <c r="I180">
        <v>0</v>
      </c>
      <c r="J180">
        <v>0</v>
      </c>
      <c r="K180">
        <v>1126</v>
      </c>
      <c r="L180">
        <v>284</v>
      </c>
      <c r="M180">
        <v>166</v>
      </c>
      <c r="N180">
        <v>118</v>
      </c>
      <c r="O180">
        <v>35000</v>
      </c>
      <c r="P180">
        <v>218</v>
      </c>
      <c r="Q180">
        <v>62</v>
      </c>
      <c r="R180">
        <v>15</v>
      </c>
      <c r="S180">
        <v>2</v>
      </c>
      <c r="T180" t="s">
        <v>3108</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3110</v>
      </c>
      <c r="B181">
        <v>1980</v>
      </c>
      <c r="C181" t="s">
        <v>173</v>
      </c>
      <c r="D181" t="s">
        <v>3111</v>
      </c>
      <c r="E181" t="str">
        <f t="shared" si="2"/>
        <v>City of Del Rey Oaks</v>
      </c>
      <c r="F181">
        <v>755</v>
      </c>
      <c r="G181" t="s">
        <v>3112</v>
      </c>
      <c r="H181">
        <v>1557</v>
      </c>
      <c r="I181">
        <v>1557</v>
      </c>
      <c r="J181">
        <v>0</v>
      </c>
      <c r="K181">
        <v>0</v>
      </c>
      <c r="L181">
        <v>567</v>
      </c>
      <c r="M181">
        <v>476</v>
      </c>
      <c r="N181">
        <v>91</v>
      </c>
      <c r="O181">
        <v>93100</v>
      </c>
      <c r="P181">
        <v>562</v>
      </c>
      <c r="Q181">
        <v>15</v>
      </c>
      <c r="R181">
        <v>0</v>
      </c>
      <c r="S181">
        <v>0</v>
      </c>
      <c r="T181" t="s">
        <v>3111</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3113</v>
      </c>
      <c r="B182">
        <v>1980</v>
      </c>
      <c r="C182" t="s">
        <v>173</v>
      </c>
      <c r="D182" t="s">
        <v>3114</v>
      </c>
      <c r="E182" t="str">
        <f t="shared" si="2"/>
        <v>City of Denair</v>
      </c>
      <c r="F182">
        <v>760</v>
      </c>
      <c r="G182" t="s">
        <v>3115</v>
      </c>
      <c r="H182">
        <v>2892</v>
      </c>
      <c r="I182">
        <v>0</v>
      </c>
      <c r="J182">
        <v>2892</v>
      </c>
      <c r="K182">
        <v>0</v>
      </c>
      <c r="L182">
        <v>907</v>
      </c>
      <c r="M182">
        <v>733</v>
      </c>
      <c r="N182">
        <v>174</v>
      </c>
      <c r="O182">
        <v>58700</v>
      </c>
      <c r="P182">
        <v>853</v>
      </c>
      <c r="Q182">
        <v>26</v>
      </c>
      <c r="R182">
        <v>23</v>
      </c>
      <c r="S182">
        <v>57</v>
      </c>
      <c r="T182" t="s">
        <v>3114</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3116</v>
      </c>
      <c r="B183">
        <v>1980</v>
      </c>
      <c r="C183" t="s">
        <v>173</v>
      </c>
      <c r="D183" t="s">
        <v>539</v>
      </c>
      <c r="E183" t="str">
        <f t="shared" si="2"/>
        <v>City of Desert Hot Springs</v>
      </c>
      <c r="F183">
        <v>765</v>
      </c>
      <c r="G183" t="s">
        <v>3117</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3118</v>
      </c>
      <c r="B184">
        <v>1980</v>
      </c>
      <c r="C184" t="s">
        <v>173</v>
      </c>
      <c r="D184" t="s">
        <v>3119</v>
      </c>
      <c r="E184" t="str">
        <f t="shared" si="2"/>
        <v>City of Desert View Highlands</v>
      </c>
      <c r="F184">
        <v>767</v>
      </c>
      <c r="G184" t="s">
        <v>3120</v>
      </c>
      <c r="H184">
        <v>2175</v>
      </c>
      <c r="I184">
        <v>0</v>
      </c>
      <c r="J184">
        <v>0</v>
      </c>
      <c r="K184">
        <v>2175</v>
      </c>
      <c r="L184">
        <v>727</v>
      </c>
      <c r="M184">
        <v>586</v>
      </c>
      <c r="N184">
        <v>141</v>
      </c>
      <c r="O184">
        <v>66800</v>
      </c>
      <c r="P184">
        <v>719</v>
      </c>
      <c r="Q184">
        <v>33</v>
      </c>
      <c r="R184">
        <v>2</v>
      </c>
      <c r="S184">
        <v>0</v>
      </c>
      <c r="T184" t="s">
        <v>3119</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3121</v>
      </c>
      <c r="B185">
        <v>1980</v>
      </c>
      <c r="C185" t="s">
        <v>173</v>
      </c>
      <c r="D185" t="s">
        <v>541</v>
      </c>
      <c r="E185" t="str">
        <f t="shared" si="2"/>
        <v>City of Diamond Bar</v>
      </c>
      <c r="F185">
        <v>771</v>
      </c>
      <c r="G185" t="s">
        <v>3122</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3123</v>
      </c>
      <c r="B186">
        <v>1980</v>
      </c>
      <c r="C186" t="s">
        <v>173</v>
      </c>
      <c r="D186" t="s">
        <v>3124</v>
      </c>
      <c r="E186" t="str">
        <f t="shared" si="2"/>
        <v>City of Diamond Springs</v>
      </c>
      <c r="F186">
        <v>773</v>
      </c>
      <c r="G186" t="s">
        <v>3125</v>
      </c>
      <c r="H186">
        <v>2287</v>
      </c>
      <c r="I186">
        <v>0</v>
      </c>
      <c r="J186">
        <v>0</v>
      </c>
      <c r="K186">
        <v>2287</v>
      </c>
      <c r="L186">
        <v>876</v>
      </c>
      <c r="M186">
        <v>697</v>
      </c>
      <c r="N186">
        <v>179</v>
      </c>
      <c r="O186">
        <v>66800</v>
      </c>
      <c r="P186">
        <v>680</v>
      </c>
      <c r="Q186">
        <v>33</v>
      </c>
      <c r="R186">
        <v>0</v>
      </c>
      <c r="S186">
        <v>216</v>
      </c>
      <c r="T186" t="s">
        <v>3124</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3126</v>
      </c>
      <c r="B187">
        <v>1980</v>
      </c>
      <c r="C187" t="s">
        <v>173</v>
      </c>
      <c r="D187" t="s">
        <v>543</v>
      </c>
      <c r="E187" t="str">
        <f t="shared" si="2"/>
        <v>City of Dinuba</v>
      </c>
      <c r="F187">
        <v>775</v>
      </c>
      <c r="G187" t="s">
        <v>3127</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3128</v>
      </c>
      <c r="B188">
        <v>1980</v>
      </c>
      <c r="C188" t="s">
        <v>173</v>
      </c>
      <c r="D188" t="s">
        <v>3129</v>
      </c>
      <c r="E188" t="str">
        <f t="shared" si="2"/>
        <v>City of Discovery Bay</v>
      </c>
      <c r="F188">
        <v>777</v>
      </c>
      <c r="G188" t="s">
        <v>3130</v>
      </c>
      <c r="H188">
        <v>1326</v>
      </c>
      <c r="I188">
        <v>0</v>
      </c>
      <c r="J188">
        <v>0</v>
      </c>
      <c r="K188">
        <v>1326</v>
      </c>
      <c r="L188">
        <v>466</v>
      </c>
      <c r="M188">
        <v>435</v>
      </c>
      <c r="N188">
        <v>31</v>
      </c>
      <c r="O188">
        <v>133200</v>
      </c>
      <c r="P188">
        <v>628</v>
      </c>
      <c r="Q188">
        <v>11</v>
      </c>
      <c r="R188">
        <v>0</v>
      </c>
      <c r="S188">
        <v>0</v>
      </c>
      <c r="T188" t="s">
        <v>3129</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3131</v>
      </c>
      <c r="B189">
        <v>1980</v>
      </c>
      <c r="C189" t="s">
        <v>173</v>
      </c>
      <c r="D189" t="s">
        <v>545</v>
      </c>
      <c r="E189" t="str">
        <f t="shared" si="2"/>
        <v>City of Dixon</v>
      </c>
      <c r="F189">
        <v>780</v>
      </c>
      <c r="G189" t="s">
        <v>3132</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3133</v>
      </c>
      <c r="B190">
        <v>1980</v>
      </c>
      <c r="C190" t="s">
        <v>173</v>
      </c>
      <c r="D190" t="s">
        <v>547</v>
      </c>
      <c r="E190" t="str">
        <f t="shared" si="2"/>
        <v>City of Dorris</v>
      </c>
      <c r="F190">
        <v>785</v>
      </c>
      <c r="G190" t="s">
        <v>3134</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3135</v>
      </c>
      <c r="B191">
        <v>1980</v>
      </c>
      <c r="C191" t="s">
        <v>173</v>
      </c>
      <c r="D191" t="s">
        <v>549</v>
      </c>
      <c r="E191" t="str">
        <f t="shared" si="2"/>
        <v>City of Dos Palos</v>
      </c>
      <c r="F191">
        <v>790</v>
      </c>
      <c r="G191" t="s">
        <v>3136</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3137</v>
      </c>
      <c r="B192">
        <v>1980</v>
      </c>
      <c r="C192" t="s">
        <v>173</v>
      </c>
      <c r="D192" t="s">
        <v>551</v>
      </c>
      <c r="E192" t="str">
        <f t="shared" si="2"/>
        <v>City of Downey</v>
      </c>
      <c r="F192">
        <v>795</v>
      </c>
      <c r="G192" t="s">
        <v>3138</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3139</v>
      </c>
      <c r="B193">
        <v>1980</v>
      </c>
      <c r="C193" t="s">
        <v>173</v>
      </c>
      <c r="D193" t="s">
        <v>553</v>
      </c>
      <c r="E193" t="str">
        <f t="shared" si="2"/>
        <v>City of Duarte</v>
      </c>
      <c r="F193">
        <v>800</v>
      </c>
      <c r="G193" t="s">
        <v>3140</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3141</v>
      </c>
      <c r="B194">
        <v>1980</v>
      </c>
      <c r="C194" t="s">
        <v>173</v>
      </c>
      <c r="D194" t="s">
        <v>555</v>
      </c>
      <c r="E194" t="str">
        <f t="shared" si="2"/>
        <v>City of Dublin</v>
      </c>
      <c r="F194">
        <v>802</v>
      </c>
      <c r="G194" t="s">
        <v>3142</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3143</v>
      </c>
      <c r="B195">
        <v>1980</v>
      </c>
      <c r="C195" t="s">
        <v>173</v>
      </c>
      <c r="D195" t="s">
        <v>557</v>
      </c>
      <c r="E195" t="str">
        <f t="shared" si="2"/>
        <v>City of Dunsmuir</v>
      </c>
      <c r="F195">
        <v>805</v>
      </c>
      <c r="G195" t="s">
        <v>3144</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3145</v>
      </c>
      <c r="B196">
        <v>1980</v>
      </c>
      <c r="C196" t="s">
        <v>173</v>
      </c>
      <c r="D196" t="s">
        <v>3146</v>
      </c>
      <c r="E196" t="str">
        <f t="shared" si="2"/>
        <v>City of Eagle Mountain</v>
      </c>
      <c r="F196">
        <v>807</v>
      </c>
      <c r="G196" t="s">
        <v>3147</v>
      </c>
      <c r="H196">
        <v>1890</v>
      </c>
      <c r="I196">
        <v>0</v>
      </c>
      <c r="J196">
        <v>0</v>
      </c>
      <c r="K196">
        <v>1890</v>
      </c>
      <c r="L196">
        <v>514</v>
      </c>
      <c r="M196">
        <v>155</v>
      </c>
      <c r="N196">
        <v>359</v>
      </c>
      <c r="O196">
        <v>20800</v>
      </c>
      <c r="P196">
        <v>375</v>
      </c>
      <c r="Q196">
        <v>22</v>
      </c>
      <c r="R196">
        <v>1</v>
      </c>
      <c r="S196">
        <v>179</v>
      </c>
      <c r="T196" t="s">
        <v>3146</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3148</v>
      </c>
      <c r="B197">
        <v>1980</v>
      </c>
      <c r="C197" t="s">
        <v>173</v>
      </c>
      <c r="D197" t="s">
        <v>3149</v>
      </c>
      <c r="E197" t="str">
        <f t="shared" ref="E197:E260" si="3">_xlfn.CONCAT("City of ",D197)</f>
        <v>City of Earlimart</v>
      </c>
      <c r="F197">
        <v>810</v>
      </c>
      <c r="G197" t="s">
        <v>3150</v>
      </c>
      <c r="H197">
        <v>4578</v>
      </c>
      <c r="I197">
        <v>0</v>
      </c>
      <c r="J197">
        <v>4578</v>
      </c>
      <c r="K197">
        <v>0</v>
      </c>
      <c r="L197">
        <v>1172</v>
      </c>
      <c r="M197">
        <v>682</v>
      </c>
      <c r="N197">
        <v>490</v>
      </c>
      <c r="O197">
        <v>30400</v>
      </c>
      <c r="P197">
        <v>926</v>
      </c>
      <c r="Q197">
        <v>179</v>
      </c>
      <c r="R197">
        <v>29</v>
      </c>
      <c r="S197">
        <v>90</v>
      </c>
      <c r="T197" t="s">
        <v>3149</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3151</v>
      </c>
      <c r="B198">
        <v>1980</v>
      </c>
      <c r="C198" t="s">
        <v>173</v>
      </c>
      <c r="D198" t="s">
        <v>3152</v>
      </c>
      <c r="E198" t="str">
        <f t="shared" si="3"/>
        <v>City of East Blythe</v>
      </c>
      <c r="F198">
        <v>811</v>
      </c>
      <c r="G198" t="s">
        <v>3153</v>
      </c>
      <c r="H198">
        <v>1660</v>
      </c>
      <c r="I198">
        <v>0</v>
      </c>
      <c r="J198">
        <v>0</v>
      </c>
      <c r="K198">
        <v>1660</v>
      </c>
      <c r="L198">
        <v>543</v>
      </c>
      <c r="M198">
        <v>252</v>
      </c>
      <c r="N198">
        <v>291</v>
      </c>
      <c r="O198">
        <v>29700</v>
      </c>
      <c r="P198">
        <v>325</v>
      </c>
      <c r="Q198">
        <v>60</v>
      </c>
      <c r="R198">
        <v>132</v>
      </c>
      <c r="S198">
        <v>145</v>
      </c>
      <c r="T198" t="s">
        <v>3152</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3154</v>
      </c>
      <c r="B199">
        <v>1980</v>
      </c>
      <c r="C199" t="s">
        <v>173</v>
      </c>
      <c r="D199" t="s">
        <v>3155</v>
      </c>
      <c r="E199" t="str">
        <f t="shared" si="3"/>
        <v>City of East Compton</v>
      </c>
      <c r="F199">
        <v>812</v>
      </c>
      <c r="G199" t="s">
        <v>3156</v>
      </c>
      <c r="H199">
        <v>6435</v>
      </c>
      <c r="I199">
        <v>6435</v>
      </c>
      <c r="J199">
        <v>0</v>
      </c>
      <c r="K199">
        <v>0</v>
      </c>
      <c r="L199">
        <v>1695</v>
      </c>
      <c r="M199">
        <v>932</v>
      </c>
      <c r="N199">
        <v>763</v>
      </c>
      <c r="O199">
        <v>44600</v>
      </c>
      <c r="P199">
        <v>1373</v>
      </c>
      <c r="Q199">
        <v>345</v>
      </c>
      <c r="R199">
        <v>58</v>
      </c>
      <c r="S199">
        <v>1</v>
      </c>
      <c r="T199" t="s">
        <v>3155</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3157</v>
      </c>
      <c r="B200">
        <v>1980</v>
      </c>
      <c r="C200" t="s">
        <v>173</v>
      </c>
      <c r="D200" t="s">
        <v>3158</v>
      </c>
      <c r="E200" t="str">
        <f t="shared" si="3"/>
        <v>City of East Hemet</v>
      </c>
      <c r="F200">
        <v>814</v>
      </c>
      <c r="G200" t="s">
        <v>3159</v>
      </c>
      <c r="H200">
        <v>14712</v>
      </c>
      <c r="I200">
        <v>14712</v>
      </c>
      <c r="J200">
        <v>0</v>
      </c>
      <c r="K200">
        <v>0</v>
      </c>
      <c r="L200">
        <v>5328</v>
      </c>
      <c r="M200">
        <v>3824</v>
      </c>
      <c r="N200">
        <v>1504</v>
      </c>
      <c r="O200">
        <v>66700</v>
      </c>
      <c r="P200">
        <v>4757</v>
      </c>
      <c r="Q200">
        <v>499</v>
      </c>
      <c r="R200">
        <v>294</v>
      </c>
      <c r="S200">
        <v>89</v>
      </c>
      <c r="T200" t="s">
        <v>3158</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3160</v>
      </c>
      <c r="B201">
        <v>1980</v>
      </c>
      <c r="C201" t="s">
        <v>173</v>
      </c>
      <c r="D201" t="s">
        <v>3161</v>
      </c>
      <c r="E201" t="str">
        <f t="shared" si="3"/>
        <v>City of East La Mirada</v>
      </c>
      <c r="F201">
        <v>818</v>
      </c>
      <c r="G201" t="s">
        <v>3162</v>
      </c>
      <c r="H201">
        <v>9688</v>
      </c>
      <c r="I201">
        <v>9688</v>
      </c>
      <c r="J201">
        <v>0</v>
      </c>
      <c r="K201">
        <v>0</v>
      </c>
      <c r="L201">
        <v>3336</v>
      </c>
      <c r="M201">
        <v>2228</v>
      </c>
      <c r="N201">
        <v>1108</v>
      </c>
      <c r="O201">
        <v>89200</v>
      </c>
      <c r="P201">
        <v>2511</v>
      </c>
      <c r="Q201">
        <v>202</v>
      </c>
      <c r="R201">
        <v>660</v>
      </c>
      <c r="S201">
        <v>3</v>
      </c>
      <c r="T201" t="s">
        <v>3161</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3163</v>
      </c>
      <c r="B202">
        <v>1980</v>
      </c>
      <c r="C202" t="s">
        <v>173</v>
      </c>
      <c r="D202" t="s">
        <v>3164</v>
      </c>
      <c r="E202" t="str">
        <f t="shared" si="3"/>
        <v>City of East Los Angeles</v>
      </c>
      <c r="F202">
        <v>820</v>
      </c>
      <c r="G202" t="s">
        <v>3165</v>
      </c>
      <c r="H202">
        <v>110017</v>
      </c>
      <c r="I202">
        <v>110017</v>
      </c>
      <c r="J202">
        <v>0</v>
      </c>
      <c r="K202">
        <v>0</v>
      </c>
      <c r="L202">
        <v>29064</v>
      </c>
      <c r="M202">
        <v>11415</v>
      </c>
      <c r="N202">
        <v>17649</v>
      </c>
      <c r="O202">
        <v>55600</v>
      </c>
      <c r="P202">
        <v>24245</v>
      </c>
      <c r="Q202">
        <v>4755</v>
      </c>
      <c r="R202">
        <v>855</v>
      </c>
      <c r="S202">
        <v>31</v>
      </c>
      <c r="T202" t="s">
        <v>3164</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3166</v>
      </c>
      <c r="B203">
        <v>1980</v>
      </c>
      <c r="C203" t="s">
        <v>173</v>
      </c>
      <c r="D203" t="s">
        <v>3167</v>
      </c>
      <c r="E203" t="str">
        <f t="shared" si="3"/>
        <v>City of Easton</v>
      </c>
      <c r="F203">
        <v>825</v>
      </c>
      <c r="G203" t="s">
        <v>3168</v>
      </c>
      <c r="H203">
        <v>1710</v>
      </c>
      <c r="I203">
        <v>0</v>
      </c>
      <c r="J203">
        <v>0</v>
      </c>
      <c r="K203">
        <v>1710</v>
      </c>
      <c r="L203">
        <v>571</v>
      </c>
      <c r="M203">
        <v>427</v>
      </c>
      <c r="N203">
        <v>144</v>
      </c>
      <c r="O203">
        <v>55900</v>
      </c>
      <c r="P203">
        <v>529</v>
      </c>
      <c r="Q203">
        <v>49</v>
      </c>
      <c r="R203">
        <v>1</v>
      </c>
      <c r="S203">
        <v>10</v>
      </c>
      <c r="T203" t="s">
        <v>3167</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3169</v>
      </c>
      <c r="B204">
        <v>1980</v>
      </c>
      <c r="C204" t="s">
        <v>173</v>
      </c>
      <c r="D204" t="s">
        <v>3170</v>
      </c>
      <c r="E204" t="str">
        <f t="shared" si="3"/>
        <v>City of East Palo Alto</v>
      </c>
      <c r="F204">
        <v>827</v>
      </c>
      <c r="G204" t="s">
        <v>3171</v>
      </c>
      <c r="H204">
        <v>18191</v>
      </c>
      <c r="I204">
        <v>18191</v>
      </c>
      <c r="J204">
        <v>0</v>
      </c>
      <c r="K204">
        <v>0</v>
      </c>
      <c r="L204">
        <v>6476</v>
      </c>
      <c r="M204">
        <v>2912</v>
      </c>
      <c r="N204">
        <v>3564</v>
      </c>
      <c r="O204">
        <v>61800</v>
      </c>
      <c r="P204">
        <v>4127</v>
      </c>
      <c r="Q204">
        <v>655</v>
      </c>
      <c r="R204">
        <v>1840</v>
      </c>
      <c r="S204">
        <v>159</v>
      </c>
      <c r="T204" t="s">
        <v>3170</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3172</v>
      </c>
      <c r="B205">
        <v>1980</v>
      </c>
      <c r="C205" t="s">
        <v>173</v>
      </c>
      <c r="D205" t="s">
        <v>3173</v>
      </c>
      <c r="E205" t="str">
        <f t="shared" si="3"/>
        <v>City of East Porterville</v>
      </c>
      <c r="F205">
        <v>830</v>
      </c>
      <c r="G205" t="s">
        <v>3174</v>
      </c>
      <c r="H205">
        <v>5218</v>
      </c>
      <c r="I205">
        <v>0</v>
      </c>
      <c r="J205">
        <v>5218</v>
      </c>
      <c r="K205">
        <v>0</v>
      </c>
      <c r="L205">
        <v>1645</v>
      </c>
      <c r="M205">
        <v>975</v>
      </c>
      <c r="N205">
        <v>670</v>
      </c>
      <c r="O205">
        <v>32000</v>
      </c>
      <c r="P205">
        <v>1347</v>
      </c>
      <c r="Q205">
        <v>254</v>
      </c>
      <c r="R205">
        <v>18</v>
      </c>
      <c r="S205">
        <v>158</v>
      </c>
      <c r="T205" t="s">
        <v>3173</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3175</v>
      </c>
      <c r="B206">
        <v>1980</v>
      </c>
      <c r="C206" t="s">
        <v>173</v>
      </c>
      <c r="D206" t="s">
        <v>3176</v>
      </c>
      <c r="E206" t="str">
        <f t="shared" si="3"/>
        <v>City of Edgemont</v>
      </c>
      <c r="F206">
        <v>844</v>
      </c>
      <c r="G206" t="s">
        <v>3177</v>
      </c>
      <c r="H206">
        <v>5215</v>
      </c>
      <c r="I206">
        <v>5215</v>
      </c>
      <c r="J206">
        <v>0</v>
      </c>
      <c r="K206">
        <v>0</v>
      </c>
      <c r="L206">
        <v>1796</v>
      </c>
      <c r="M206">
        <v>681</v>
      </c>
      <c r="N206">
        <v>1115</v>
      </c>
      <c r="O206">
        <v>58100</v>
      </c>
      <c r="P206">
        <v>1322</v>
      </c>
      <c r="Q206">
        <v>458</v>
      </c>
      <c r="R206">
        <v>195</v>
      </c>
      <c r="S206">
        <v>66</v>
      </c>
      <c r="T206" t="s">
        <v>3176</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3178</v>
      </c>
      <c r="B207">
        <v>1980</v>
      </c>
      <c r="C207" t="s">
        <v>173</v>
      </c>
      <c r="D207" t="s">
        <v>3179</v>
      </c>
      <c r="E207" t="str">
        <f t="shared" si="3"/>
        <v>City of Edwards AFB</v>
      </c>
      <c r="F207">
        <v>847</v>
      </c>
      <c r="G207" t="s">
        <v>3180</v>
      </c>
      <c r="H207">
        <v>8554</v>
      </c>
      <c r="I207">
        <v>0</v>
      </c>
      <c r="J207">
        <v>8554</v>
      </c>
      <c r="K207">
        <v>0</v>
      </c>
      <c r="L207">
        <v>2157</v>
      </c>
      <c r="M207">
        <v>125</v>
      </c>
      <c r="N207">
        <v>2032</v>
      </c>
      <c r="O207">
        <v>33500</v>
      </c>
      <c r="P207">
        <v>2003</v>
      </c>
      <c r="Q207">
        <v>187</v>
      </c>
      <c r="R207">
        <v>80</v>
      </c>
      <c r="S207">
        <v>81</v>
      </c>
      <c r="T207" t="s">
        <v>3179</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3181</v>
      </c>
      <c r="B208">
        <v>1980</v>
      </c>
      <c r="C208" t="s">
        <v>173</v>
      </c>
      <c r="D208" t="s">
        <v>561</v>
      </c>
      <c r="E208" t="str">
        <f t="shared" si="3"/>
        <v>City of El Cajon</v>
      </c>
      <c r="F208">
        <v>850</v>
      </c>
      <c r="G208" t="s">
        <v>3182</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3183</v>
      </c>
      <c r="B209">
        <v>1980</v>
      </c>
      <c r="C209" t="s">
        <v>173</v>
      </c>
      <c r="D209" t="s">
        <v>563</v>
      </c>
      <c r="E209" t="str">
        <f t="shared" si="3"/>
        <v>City of El Centro</v>
      </c>
      <c r="F209">
        <v>855</v>
      </c>
      <c r="G209" t="s">
        <v>3184</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3185</v>
      </c>
      <c r="B210">
        <v>1980</v>
      </c>
      <c r="C210" t="s">
        <v>173</v>
      </c>
      <c r="D210" t="s">
        <v>565</v>
      </c>
      <c r="E210" t="str">
        <f t="shared" si="3"/>
        <v>City of El Cerrito</v>
      </c>
      <c r="F210">
        <v>860</v>
      </c>
      <c r="G210" t="s">
        <v>3186</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3187</v>
      </c>
      <c r="B211">
        <v>1980</v>
      </c>
      <c r="C211" t="s">
        <v>173</v>
      </c>
      <c r="D211" t="s">
        <v>3188</v>
      </c>
      <c r="E211" t="str">
        <f t="shared" si="3"/>
        <v>City of El Dorado Hills</v>
      </c>
      <c r="F211">
        <v>861</v>
      </c>
      <c r="G211" t="s">
        <v>3189</v>
      </c>
      <c r="H211">
        <v>3453</v>
      </c>
      <c r="I211">
        <v>0</v>
      </c>
      <c r="J211">
        <v>3453</v>
      </c>
      <c r="K211">
        <v>0</v>
      </c>
      <c r="L211">
        <v>1035</v>
      </c>
      <c r="M211">
        <v>964</v>
      </c>
      <c r="N211">
        <v>71</v>
      </c>
      <c r="O211">
        <v>98200</v>
      </c>
      <c r="P211">
        <v>1085</v>
      </c>
      <c r="Q211">
        <v>10</v>
      </c>
      <c r="R211">
        <v>0</v>
      </c>
      <c r="S211">
        <v>0</v>
      </c>
      <c r="T211" t="s">
        <v>3188</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3190</v>
      </c>
      <c r="B212">
        <v>1980</v>
      </c>
      <c r="C212" t="s">
        <v>173</v>
      </c>
      <c r="D212" t="s">
        <v>3191</v>
      </c>
      <c r="E212" t="str">
        <f t="shared" si="3"/>
        <v>City of El Granada</v>
      </c>
      <c r="F212">
        <v>864</v>
      </c>
      <c r="G212" t="s">
        <v>3192</v>
      </c>
      <c r="H212">
        <v>3582</v>
      </c>
      <c r="I212">
        <v>0</v>
      </c>
      <c r="J212">
        <v>3582</v>
      </c>
      <c r="K212">
        <v>0</v>
      </c>
      <c r="L212">
        <v>1274</v>
      </c>
      <c r="M212">
        <v>933</v>
      </c>
      <c r="N212">
        <v>341</v>
      </c>
      <c r="O212">
        <v>122900</v>
      </c>
      <c r="P212">
        <v>1125</v>
      </c>
      <c r="Q212">
        <v>155</v>
      </c>
      <c r="R212">
        <v>30</v>
      </c>
      <c r="S212">
        <v>10</v>
      </c>
      <c r="T212" t="s">
        <v>3191</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3193</v>
      </c>
      <c r="B213">
        <v>1980</v>
      </c>
      <c r="C213" t="s">
        <v>173</v>
      </c>
      <c r="D213" t="s">
        <v>571</v>
      </c>
      <c r="E213" t="str">
        <f t="shared" si="3"/>
        <v>City of Elk Grove</v>
      </c>
      <c r="F213">
        <v>870</v>
      </c>
      <c r="G213" t="s">
        <v>3194</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3195</v>
      </c>
      <c r="B214">
        <v>1980</v>
      </c>
      <c r="C214" t="s">
        <v>173</v>
      </c>
      <c r="D214" t="s">
        <v>567</v>
      </c>
      <c r="E214" t="str">
        <f t="shared" si="3"/>
        <v>City of El Monte</v>
      </c>
      <c r="F214">
        <v>880</v>
      </c>
      <c r="G214" t="s">
        <v>3196</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3197</v>
      </c>
      <c r="B215">
        <v>1980</v>
      </c>
      <c r="C215" t="s">
        <v>173</v>
      </c>
      <c r="D215" t="s">
        <v>3198</v>
      </c>
      <c r="E215" t="str">
        <f t="shared" si="3"/>
        <v>City of El Paso de Robles</v>
      </c>
      <c r="F215">
        <v>885</v>
      </c>
      <c r="G215" t="s">
        <v>3199</v>
      </c>
      <c r="H215">
        <v>9163</v>
      </c>
      <c r="I215">
        <v>0</v>
      </c>
      <c r="J215">
        <v>9163</v>
      </c>
      <c r="K215">
        <v>0</v>
      </c>
      <c r="L215">
        <v>3631</v>
      </c>
      <c r="M215">
        <v>1985</v>
      </c>
      <c r="N215">
        <v>1646</v>
      </c>
      <c r="O215">
        <v>65800</v>
      </c>
      <c r="P215">
        <v>3036</v>
      </c>
      <c r="Q215">
        <v>514</v>
      </c>
      <c r="R215">
        <v>330</v>
      </c>
      <c r="S215">
        <v>106</v>
      </c>
      <c r="T215" t="s">
        <v>3198</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3200</v>
      </c>
      <c r="B216">
        <v>1980</v>
      </c>
      <c r="C216" t="s">
        <v>173</v>
      </c>
      <c r="D216" t="s">
        <v>3201</v>
      </c>
      <c r="E216" t="str">
        <f t="shared" si="3"/>
        <v>City of El Rio</v>
      </c>
      <c r="F216">
        <v>890</v>
      </c>
      <c r="G216" t="s">
        <v>3202</v>
      </c>
      <c r="H216">
        <v>5674</v>
      </c>
      <c r="I216">
        <v>5674</v>
      </c>
      <c r="J216">
        <v>0</v>
      </c>
      <c r="K216">
        <v>0</v>
      </c>
      <c r="L216">
        <v>1597</v>
      </c>
      <c r="M216">
        <v>1107</v>
      </c>
      <c r="N216">
        <v>490</v>
      </c>
      <c r="O216">
        <v>65900</v>
      </c>
      <c r="P216">
        <v>1328</v>
      </c>
      <c r="Q216">
        <v>151</v>
      </c>
      <c r="R216">
        <v>7</v>
      </c>
      <c r="S216">
        <v>151</v>
      </c>
      <c r="T216" t="s">
        <v>3201</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3203</v>
      </c>
      <c r="B217">
        <v>1980</v>
      </c>
      <c r="C217" t="s">
        <v>173</v>
      </c>
      <c r="D217" t="s">
        <v>569</v>
      </c>
      <c r="E217" t="str">
        <f t="shared" si="3"/>
        <v>City of El Segundo</v>
      </c>
      <c r="F217">
        <v>895</v>
      </c>
      <c r="G217" t="s">
        <v>3204</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3205</v>
      </c>
      <c r="B218">
        <v>1980</v>
      </c>
      <c r="C218" t="s">
        <v>173</v>
      </c>
      <c r="D218" t="s">
        <v>3206</v>
      </c>
      <c r="E218" t="str">
        <f t="shared" si="3"/>
        <v>City of El Sobrante</v>
      </c>
      <c r="F218">
        <v>902</v>
      </c>
      <c r="G218" t="s">
        <v>3207</v>
      </c>
      <c r="H218">
        <v>10535</v>
      </c>
      <c r="I218">
        <v>10535</v>
      </c>
      <c r="J218">
        <v>0</v>
      </c>
      <c r="K218">
        <v>0</v>
      </c>
      <c r="L218">
        <v>4170</v>
      </c>
      <c r="M218">
        <v>2770</v>
      </c>
      <c r="N218">
        <v>1400</v>
      </c>
      <c r="O218">
        <v>76500</v>
      </c>
      <c r="P218">
        <v>3329</v>
      </c>
      <c r="Q218">
        <v>429</v>
      </c>
      <c r="R218">
        <v>478</v>
      </c>
      <c r="S218">
        <v>58</v>
      </c>
      <c r="T218" t="s">
        <v>3206</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3208</v>
      </c>
      <c r="B219">
        <v>1980</v>
      </c>
      <c r="C219" t="s">
        <v>173</v>
      </c>
      <c r="D219" t="s">
        <v>3209</v>
      </c>
      <c r="E219" t="str">
        <f t="shared" si="3"/>
        <v>City of El Toro</v>
      </c>
      <c r="F219">
        <v>903</v>
      </c>
      <c r="G219" t="s">
        <v>3210</v>
      </c>
      <c r="H219">
        <v>38153</v>
      </c>
      <c r="I219">
        <v>38153</v>
      </c>
      <c r="J219">
        <v>0</v>
      </c>
      <c r="K219">
        <v>0</v>
      </c>
      <c r="L219">
        <v>12158</v>
      </c>
      <c r="M219">
        <v>9896</v>
      </c>
      <c r="N219">
        <v>2262</v>
      </c>
      <c r="O219">
        <v>132800</v>
      </c>
      <c r="P219">
        <v>10483</v>
      </c>
      <c r="Q219">
        <v>598</v>
      </c>
      <c r="R219">
        <v>864</v>
      </c>
      <c r="S219">
        <v>1055</v>
      </c>
      <c r="T219" t="s">
        <v>3209</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3211</v>
      </c>
      <c r="B220">
        <v>1980</v>
      </c>
      <c r="C220" t="s">
        <v>173</v>
      </c>
      <c r="D220" t="s">
        <v>3212</v>
      </c>
      <c r="E220" t="str">
        <f t="shared" si="3"/>
        <v>City of El Toro Station</v>
      </c>
      <c r="F220">
        <v>904</v>
      </c>
      <c r="G220" t="s">
        <v>3213</v>
      </c>
      <c r="H220">
        <v>7632</v>
      </c>
      <c r="I220">
        <v>7632</v>
      </c>
      <c r="J220">
        <v>0</v>
      </c>
      <c r="K220">
        <v>0</v>
      </c>
      <c r="L220">
        <v>1236</v>
      </c>
      <c r="M220">
        <v>2</v>
      </c>
      <c r="N220">
        <v>1234</v>
      </c>
      <c r="O220">
        <v>0</v>
      </c>
      <c r="P220">
        <v>930</v>
      </c>
      <c r="Q220">
        <v>311</v>
      </c>
      <c r="R220">
        <v>12</v>
      </c>
      <c r="S220">
        <v>1</v>
      </c>
      <c r="T220" t="s">
        <v>3212</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3214</v>
      </c>
      <c r="B221">
        <v>1980</v>
      </c>
      <c r="C221" t="s">
        <v>173</v>
      </c>
      <c r="D221" t="s">
        <v>3215</v>
      </c>
      <c r="E221" t="str">
        <f t="shared" si="3"/>
        <v>City of El Verano</v>
      </c>
      <c r="F221">
        <v>905</v>
      </c>
      <c r="G221" t="s">
        <v>3216</v>
      </c>
      <c r="H221">
        <v>2384</v>
      </c>
      <c r="I221">
        <v>0</v>
      </c>
      <c r="J221">
        <v>0</v>
      </c>
      <c r="K221">
        <v>2384</v>
      </c>
      <c r="L221">
        <v>931</v>
      </c>
      <c r="M221">
        <v>524</v>
      </c>
      <c r="N221">
        <v>407</v>
      </c>
      <c r="O221">
        <v>79100</v>
      </c>
      <c r="P221">
        <v>865</v>
      </c>
      <c r="Q221">
        <v>135</v>
      </c>
      <c r="R221">
        <v>2</v>
      </c>
      <c r="S221">
        <v>3</v>
      </c>
      <c r="T221" t="s">
        <v>3215</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3217</v>
      </c>
      <c r="B222">
        <v>1980</v>
      </c>
      <c r="C222" t="s">
        <v>173</v>
      </c>
      <c r="D222" t="s">
        <v>573</v>
      </c>
      <c r="E222" t="str">
        <f t="shared" si="3"/>
        <v>City of Emeryville</v>
      </c>
      <c r="F222">
        <v>910</v>
      </c>
      <c r="G222" t="s">
        <v>3218</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3219</v>
      </c>
      <c r="B223">
        <v>1980</v>
      </c>
      <c r="C223" t="s">
        <v>173</v>
      </c>
      <c r="D223" t="s">
        <v>575</v>
      </c>
      <c r="E223" t="str">
        <f t="shared" si="3"/>
        <v>City of Encinitas</v>
      </c>
      <c r="F223">
        <v>920</v>
      </c>
      <c r="G223" t="s">
        <v>3220</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3221</v>
      </c>
      <c r="B224">
        <v>1980</v>
      </c>
      <c r="C224" t="s">
        <v>173</v>
      </c>
      <c r="D224" t="s">
        <v>577</v>
      </c>
      <c r="E224" t="str">
        <f t="shared" si="3"/>
        <v>City of Escalon</v>
      </c>
      <c r="F224">
        <v>930</v>
      </c>
      <c r="G224" t="s">
        <v>3222</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3223</v>
      </c>
      <c r="B225">
        <v>1980</v>
      </c>
      <c r="C225" t="s">
        <v>173</v>
      </c>
      <c r="D225" t="s">
        <v>579</v>
      </c>
      <c r="E225" t="str">
        <f t="shared" si="3"/>
        <v>City of Escondido</v>
      </c>
      <c r="F225">
        <v>935</v>
      </c>
      <c r="G225" t="s">
        <v>3224</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3225</v>
      </c>
      <c r="B226">
        <v>1980</v>
      </c>
      <c r="C226" t="s">
        <v>173</v>
      </c>
      <c r="D226" t="s">
        <v>3226</v>
      </c>
      <c r="E226" t="str">
        <f t="shared" si="3"/>
        <v>City of Esparto</v>
      </c>
      <c r="F226">
        <v>937</v>
      </c>
      <c r="G226" t="s">
        <v>3227</v>
      </c>
      <c r="H226">
        <v>1303</v>
      </c>
      <c r="I226">
        <v>0</v>
      </c>
      <c r="J226">
        <v>0</v>
      </c>
      <c r="K226">
        <v>1303</v>
      </c>
      <c r="L226">
        <v>447</v>
      </c>
      <c r="M226">
        <v>339</v>
      </c>
      <c r="N226">
        <v>108</v>
      </c>
      <c r="O226">
        <v>47200</v>
      </c>
      <c r="P226">
        <v>369</v>
      </c>
      <c r="Q226">
        <v>24</v>
      </c>
      <c r="R226">
        <v>1</v>
      </c>
      <c r="S226">
        <v>68</v>
      </c>
      <c r="T226" t="s">
        <v>3226</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3228</v>
      </c>
      <c r="B227">
        <v>1980</v>
      </c>
      <c r="C227" t="s">
        <v>173</v>
      </c>
      <c r="D227" t="s">
        <v>581</v>
      </c>
      <c r="E227" t="str">
        <f t="shared" si="3"/>
        <v>City of Etna</v>
      </c>
      <c r="F227">
        <v>940</v>
      </c>
      <c r="G227" t="s">
        <v>3229</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3230</v>
      </c>
      <c r="B228">
        <v>1980</v>
      </c>
      <c r="C228" t="s">
        <v>173</v>
      </c>
      <c r="D228" t="s">
        <v>583</v>
      </c>
      <c r="E228" t="str">
        <f t="shared" si="3"/>
        <v>City of Eureka</v>
      </c>
      <c r="F228">
        <v>945</v>
      </c>
      <c r="G228" t="s">
        <v>3231</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3232</v>
      </c>
      <c r="B229">
        <v>1980</v>
      </c>
      <c r="C229" t="s">
        <v>173</v>
      </c>
      <c r="D229" t="s">
        <v>585</v>
      </c>
      <c r="E229" t="str">
        <f t="shared" si="3"/>
        <v>City of Exeter</v>
      </c>
      <c r="F229">
        <v>950</v>
      </c>
      <c r="G229" t="s">
        <v>3233</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3234</v>
      </c>
      <c r="B230">
        <v>1980</v>
      </c>
      <c r="C230" t="s">
        <v>173</v>
      </c>
      <c r="D230" t="s">
        <v>587</v>
      </c>
      <c r="E230" t="str">
        <f t="shared" si="3"/>
        <v>City of Fairfax</v>
      </c>
      <c r="F230">
        <v>955</v>
      </c>
      <c r="G230" t="s">
        <v>3235</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3236</v>
      </c>
      <c r="B231">
        <v>1980</v>
      </c>
      <c r="C231" t="s">
        <v>173</v>
      </c>
      <c r="D231" t="s">
        <v>589</v>
      </c>
      <c r="E231" t="str">
        <f t="shared" si="3"/>
        <v>City of Fairfield</v>
      </c>
      <c r="F231">
        <v>960</v>
      </c>
      <c r="G231" t="s">
        <v>3237</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3238</v>
      </c>
      <c r="B232">
        <v>1980</v>
      </c>
      <c r="C232" t="s">
        <v>173</v>
      </c>
      <c r="D232" t="s">
        <v>3239</v>
      </c>
      <c r="E232" t="str">
        <f t="shared" si="3"/>
        <v>City of Fair Oaks</v>
      </c>
      <c r="F232">
        <v>965</v>
      </c>
      <c r="G232" t="s">
        <v>3240</v>
      </c>
      <c r="H232">
        <v>22602</v>
      </c>
      <c r="I232">
        <v>22602</v>
      </c>
      <c r="J232">
        <v>0</v>
      </c>
      <c r="K232">
        <v>0</v>
      </c>
      <c r="L232">
        <v>8035</v>
      </c>
      <c r="M232">
        <v>5941</v>
      </c>
      <c r="N232">
        <v>2094</v>
      </c>
      <c r="O232">
        <v>99400</v>
      </c>
      <c r="P232">
        <v>7411</v>
      </c>
      <c r="Q232">
        <v>479</v>
      </c>
      <c r="R232">
        <v>674</v>
      </c>
      <c r="S232">
        <v>11</v>
      </c>
      <c r="T232" t="s">
        <v>3239</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3241</v>
      </c>
      <c r="B233">
        <v>1980</v>
      </c>
      <c r="C233" t="s">
        <v>173</v>
      </c>
      <c r="D233" t="s">
        <v>3242</v>
      </c>
      <c r="E233" t="str">
        <f t="shared" si="3"/>
        <v>City of Fallbrook</v>
      </c>
      <c r="F233">
        <v>980</v>
      </c>
      <c r="G233" t="s">
        <v>3243</v>
      </c>
      <c r="H233">
        <v>14041</v>
      </c>
      <c r="I233">
        <v>0</v>
      </c>
      <c r="J233">
        <v>14041</v>
      </c>
      <c r="K233">
        <v>0</v>
      </c>
      <c r="L233">
        <v>4961</v>
      </c>
      <c r="M233">
        <v>2995</v>
      </c>
      <c r="N233">
        <v>1966</v>
      </c>
      <c r="O233">
        <v>89000</v>
      </c>
      <c r="P233">
        <v>3785</v>
      </c>
      <c r="Q233">
        <v>470</v>
      </c>
      <c r="R233">
        <v>549</v>
      </c>
      <c r="S233">
        <v>523</v>
      </c>
      <c r="T233" t="s">
        <v>3242</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3244</v>
      </c>
      <c r="B234">
        <v>1980</v>
      </c>
      <c r="C234" t="s">
        <v>173</v>
      </c>
      <c r="D234" t="s">
        <v>591</v>
      </c>
      <c r="E234" t="str">
        <f t="shared" si="3"/>
        <v>City of Farmersville</v>
      </c>
      <c r="F234">
        <v>986</v>
      </c>
      <c r="G234" t="s">
        <v>3245</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3246</v>
      </c>
      <c r="B235">
        <v>1980</v>
      </c>
      <c r="C235" t="s">
        <v>173</v>
      </c>
      <c r="D235" t="s">
        <v>3247</v>
      </c>
      <c r="E235" t="str">
        <f t="shared" si="3"/>
        <v>City of Felton</v>
      </c>
      <c r="F235">
        <v>995</v>
      </c>
      <c r="G235" t="s">
        <v>3248</v>
      </c>
      <c r="H235">
        <v>4564</v>
      </c>
      <c r="I235">
        <v>4564</v>
      </c>
      <c r="J235">
        <v>0</v>
      </c>
      <c r="K235">
        <v>0</v>
      </c>
      <c r="L235">
        <v>1874</v>
      </c>
      <c r="M235">
        <v>1191</v>
      </c>
      <c r="N235">
        <v>683</v>
      </c>
      <c r="O235">
        <v>85800</v>
      </c>
      <c r="P235">
        <v>1742</v>
      </c>
      <c r="Q235">
        <v>269</v>
      </c>
      <c r="R235">
        <v>16</v>
      </c>
      <c r="S235">
        <v>110</v>
      </c>
      <c r="T235" t="s">
        <v>3247</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3249</v>
      </c>
      <c r="B236">
        <v>1980</v>
      </c>
      <c r="C236" t="s">
        <v>173</v>
      </c>
      <c r="D236" t="s">
        <v>593</v>
      </c>
      <c r="E236" t="str">
        <f t="shared" si="3"/>
        <v>City of Ferndale</v>
      </c>
      <c r="F236">
        <v>1000</v>
      </c>
      <c r="G236" t="s">
        <v>3250</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3251</v>
      </c>
      <c r="B237">
        <v>1980</v>
      </c>
      <c r="C237" t="s">
        <v>173</v>
      </c>
      <c r="D237" t="s">
        <v>3252</v>
      </c>
      <c r="E237" t="str">
        <f t="shared" si="3"/>
        <v>City of Fetters Hot Springs-Agua Caliente</v>
      </c>
      <c r="F237">
        <v>1002</v>
      </c>
      <c r="G237" t="s">
        <v>3253</v>
      </c>
      <c r="H237">
        <v>1675</v>
      </c>
      <c r="I237">
        <v>0</v>
      </c>
      <c r="J237">
        <v>0</v>
      </c>
      <c r="K237">
        <v>1675</v>
      </c>
      <c r="L237">
        <v>719</v>
      </c>
      <c r="M237">
        <v>471</v>
      </c>
      <c r="N237">
        <v>248</v>
      </c>
      <c r="O237">
        <v>71900</v>
      </c>
      <c r="P237">
        <v>525</v>
      </c>
      <c r="Q237">
        <v>95</v>
      </c>
      <c r="R237">
        <v>20</v>
      </c>
      <c r="S237">
        <v>145</v>
      </c>
      <c r="T237" t="s">
        <v>3252</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3254</v>
      </c>
      <c r="B238">
        <v>1980</v>
      </c>
      <c r="C238" t="s">
        <v>173</v>
      </c>
      <c r="D238" t="s">
        <v>595</v>
      </c>
      <c r="E238" t="str">
        <f t="shared" si="3"/>
        <v>City of Fillmore</v>
      </c>
      <c r="F238">
        <v>1010</v>
      </c>
      <c r="G238" t="s">
        <v>3255</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3256</v>
      </c>
      <c r="B239">
        <v>1980</v>
      </c>
      <c r="C239" t="s">
        <v>173</v>
      </c>
      <c r="D239" t="s">
        <v>597</v>
      </c>
      <c r="E239" t="str">
        <f t="shared" si="3"/>
        <v>City of Firebaugh</v>
      </c>
      <c r="F239">
        <v>1015</v>
      </c>
      <c r="G239" t="s">
        <v>3257</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3258</v>
      </c>
      <c r="B240">
        <v>1980</v>
      </c>
      <c r="C240" t="s">
        <v>173</v>
      </c>
      <c r="D240" t="s">
        <v>3259</v>
      </c>
      <c r="E240" t="str">
        <f t="shared" si="3"/>
        <v>City of Florence-Graham</v>
      </c>
      <c r="F240">
        <v>1020</v>
      </c>
      <c r="G240" t="s">
        <v>3260</v>
      </c>
      <c r="H240">
        <v>48662</v>
      </c>
      <c r="I240">
        <v>48662</v>
      </c>
      <c r="J240">
        <v>0</v>
      </c>
      <c r="K240">
        <v>0</v>
      </c>
      <c r="L240">
        <v>12825</v>
      </c>
      <c r="M240">
        <v>4771</v>
      </c>
      <c r="N240">
        <v>8054</v>
      </c>
      <c r="O240">
        <v>35700</v>
      </c>
      <c r="P240">
        <v>9724</v>
      </c>
      <c r="Q240">
        <v>3026</v>
      </c>
      <c r="R240">
        <v>504</v>
      </c>
      <c r="S240">
        <v>163</v>
      </c>
      <c r="T240" t="s">
        <v>3259</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3261</v>
      </c>
      <c r="B241">
        <v>1980</v>
      </c>
      <c r="C241" t="s">
        <v>173</v>
      </c>
      <c r="D241" t="s">
        <v>3262</v>
      </c>
      <c r="E241" t="str">
        <f t="shared" si="3"/>
        <v>City of Florin</v>
      </c>
      <c r="F241">
        <v>1023</v>
      </c>
      <c r="G241" t="s">
        <v>3263</v>
      </c>
      <c r="H241">
        <v>16523</v>
      </c>
      <c r="I241">
        <v>16523</v>
      </c>
      <c r="J241">
        <v>0</v>
      </c>
      <c r="K241">
        <v>0</v>
      </c>
      <c r="L241">
        <v>6025</v>
      </c>
      <c r="M241">
        <v>4222</v>
      </c>
      <c r="N241">
        <v>1803</v>
      </c>
      <c r="O241">
        <v>60500</v>
      </c>
      <c r="P241">
        <v>4432</v>
      </c>
      <c r="Q241">
        <v>346</v>
      </c>
      <c r="R241">
        <v>543</v>
      </c>
      <c r="S241">
        <v>1264</v>
      </c>
      <c r="T241" t="s">
        <v>3262</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3264</v>
      </c>
      <c r="B242">
        <v>1980</v>
      </c>
      <c r="C242" t="s">
        <v>173</v>
      </c>
      <c r="D242" t="s">
        <v>599</v>
      </c>
      <c r="E242" t="str">
        <f t="shared" si="3"/>
        <v>City of Folsom</v>
      </c>
      <c r="F242">
        <v>1025</v>
      </c>
      <c r="G242" t="s">
        <v>3265</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3266</v>
      </c>
      <c r="B243">
        <v>1980</v>
      </c>
      <c r="C243" t="s">
        <v>173</v>
      </c>
      <c r="D243" t="s">
        <v>601</v>
      </c>
      <c r="E243" t="str">
        <f t="shared" si="3"/>
        <v>City of Fontana</v>
      </c>
      <c r="F243">
        <v>1030</v>
      </c>
      <c r="G243" t="s">
        <v>3267</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3268</v>
      </c>
      <c r="B244">
        <v>1980</v>
      </c>
      <c r="C244" t="s">
        <v>173</v>
      </c>
      <c r="D244" t="s">
        <v>3269</v>
      </c>
      <c r="E244" t="str">
        <f t="shared" si="3"/>
        <v>City of Foothill Farms</v>
      </c>
      <c r="F244">
        <v>1032</v>
      </c>
      <c r="G244" t="s">
        <v>3270</v>
      </c>
      <c r="H244">
        <v>13700</v>
      </c>
      <c r="I244">
        <v>13700</v>
      </c>
      <c r="J244">
        <v>0</v>
      </c>
      <c r="K244">
        <v>0</v>
      </c>
      <c r="L244">
        <v>4924</v>
      </c>
      <c r="M244">
        <v>3522</v>
      </c>
      <c r="N244">
        <v>1402</v>
      </c>
      <c r="O244">
        <v>65400</v>
      </c>
      <c r="P244">
        <v>4014</v>
      </c>
      <c r="Q244">
        <v>891</v>
      </c>
      <c r="R244">
        <v>78</v>
      </c>
      <c r="S244">
        <v>181</v>
      </c>
      <c r="T244" t="s">
        <v>3269</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3271</v>
      </c>
      <c r="B245">
        <v>1980</v>
      </c>
      <c r="C245" t="s">
        <v>173</v>
      </c>
      <c r="D245" t="s">
        <v>3272</v>
      </c>
      <c r="E245" t="str">
        <f t="shared" si="3"/>
        <v>City of Ford City</v>
      </c>
      <c r="F245">
        <v>1035</v>
      </c>
      <c r="G245" t="s">
        <v>3273</v>
      </c>
      <c r="H245">
        <v>3392</v>
      </c>
      <c r="I245">
        <v>0</v>
      </c>
      <c r="J245">
        <v>3392</v>
      </c>
      <c r="K245">
        <v>0</v>
      </c>
      <c r="L245">
        <v>1323</v>
      </c>
      <c r="M245">
        <v>900</v>
      </c>
      <c r="N245">
        <v>423</v>
      </c>
      <c r="O245">
        <v>33300</v>
      </c>
      <c r="P245">
        <v>1149</v>
      </c>
      <c r="Q245">
        <v>199</v>
      </c>
      <c r="R245">
        <v>10</v>
      </c>
      <c r="S245">
        <v>35</v>
      </c>
      <c r="T245" t="s">
        <v>3272</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3274</v>
      </c>
      <c r="B246">
        <v>1980</v>
      </c>
      <c r="C246" t="s">
        <v>173</v>
      </c>
      <c r="D246" t="s">
        <v>3275</v>
      </c>
      <c r="E246" t="str">
        <f t="shared" si="3"/>
        <v>City of Foresthill</v>
      </c>
      <c r="F246">
        <v>1039</v>
      </c>
      <c r="G246" t="s">
        <v>3276</v>
      </c>
      <c r="H246">
        <v>1304</v>
      </c>
      <c r="I246">
        <v>0</v>
      </c>
      <c r="J246">
        <v>0</v>
      </c>
      <c r="K246">
        <v>1304</v>
      </c>
      <c r="L246">
        <v>464</v>
      </c>
      <c r="M246">
        <v>344</v>
      </c>
      <c r="N246">
        <v>120</v>
      </c>
      <c r="O246">
        <v>60100</v>
      </c>
      <c r="P246">
        <v>324</v>
      </c>
      <c r="Q246">
        <v>30</v>
      </c>
      <c r="R246">
        <v>2</v>
      </c>
      <c r="S246">
        <v>140</v>
      </c>
      <c r="T246" t="s">
        <v>3275</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3277</v>
      </c>
      <c r="B247">
        <v>1980</v>
      </c>
      <c r="C247" t="s">
        <v>173</v>
      </c>
      <c r="D247" t="s">
        <v>603</v>
      </c>
      <c r="E247" t="str">
        <f t="shared" si="3"/>
        <v>City of Fort Bragg</v>
      </c>
      <c r="F247">
        <v>1050</v>
      </c>
      <c r="G247" t="s">
        <v>3278</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3279</v>
      </c>
      <c r="B248">
        <v>1980</v>
      </c>
      <c r="C248" t="s">
        <v>173</v>
      </c>
      <c r="D248" t="s">
        <v>605</v>
      </c>
      <c r="E248" t="str">
        <f t="shared" si="3"/>
        <v>City of Fort Jones</v>
      </c>
      <c r="F248">
        <v>1055</v>
      </c>
      <c r="G248" t="s">
        <v>3280</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3281</v>
      </c>
      <c r="B249">
        <v>1980</v>
      </c>
      <c r="C249" t="s">
        <v>173</v>
      </c>
      <c r="D249" t="s">
        <v>607</v>
      </c>
      <c r="E249" t="str">
        <f t="shared" si="3"/>
        <v>City of Fortuna</v>
      </c>
      <c r="F249">
        <v>1060</v>
      </c>
      <c r="G249" t="s">
        <v>3282</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3283</v>
      </c>
      <c r="B250">
        <v>1980</v>
      </c>
      <c r="C250" t="s">
        <v>173</v>
      </c>
      <c r="D250" t="s">
        <v>609</v>
      </c>
      <c r="E250" t="str">
        <f t="shared" si="3"/>
        <v>City of Foster City</v>
      </c>
      <c r="F250">
        <v>1062</v>
      </c>
      <c r="G250" t="s">
        <v>3284</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3285</v>
      </c>
      <c r="B251">
        <v>1980</v>
      </c>
      <c r="C251" t="s">
        <v>173</v>
      </c>
      <c r="D251" t="s">
        <v>611</v>
      </c>
      <c r="E251" t="str">
        <f t="shared" si="3"/>
        <v>City of Fountain Valley</v>
      </c>
      <c r="F251">
        <v>1065</v>
      </c>
      <c r="G251" t="s">
        <v>3286</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3287</v>
      </c>
      <c r="B252">
        <v>1980</v>
      </c>
      <c r="C252" t="s">
        <v>173</v>
      </c>
      <c r="D252" t="s">
        <v>613</v>
      </c>
      <c r="E252" t="str">
        <f t="shared" si="3"/>
        <v>City of Fowler</v>
      </c>
      <c r="F252">
        <v>1070</v>
      </c>
      <c r="G252" t="s">
        <v>3288</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3289</v>
      </c>
      <c r="B253">
        <v>1980</v>
      </c>
      <c r="C253" t="s">
        <v>173</v>
      </c>
      <c r="D253" t="s">
        <v>3290</v>
      </c>
      <c r="E253" t="str">
        <f t="shared" si="3"/>
        <v>City of Frazier Park</v>
      </c>
      <c r="F253">
        <v>1072</v>
      </c>
      <c r="G253" t="s">
        <v>3291</v>
      </c>
      <c r="H253">
        <v>1444</v>
      </c>
      <c r="I253">
        <v>0</v>
      </c>
      <c r="J253">
        <v>0</v>
      </c>
      <c r="K253">
        <v>1444</v>
      </c>
      <c r="L253">
        <v>589</v>
      </c>
      <c r="M253">
        <v>429</v>
      </c>
      <c r="N253">
        <v>160</v>
      </c>
      <c r="O253">
        <v>49800</v>
      </c>
      <c r="P253">
        <v>775</v>
      </c>
      <c r="Q253">
        <v>36</v>
      </c>
      <c r="R253">
        <v>0</v>
      </c>
      <c r="S253">
        <v>90</v>
      </c>
      <c r="T253" t="s">
        <v>3290</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3292</v>
      </c>
      <c r="B254">
        <v>1980</v>
      </c>
      <c r="C254" t="s">
        <v>173</v>
      </c>
      <c r="D254" t="s">
        <v>3293</v>
      </c>
      <c r="E254" t="str">
        <f t="shared" si="3"/>
        <v>City of Freedom</v>
      </c>
      <c r="F254">
        <v>1075</v>
      </c>
      <c r="G254" t="s">
        <v>3294</v>
      </c>
      <c r="H254">
        <v>6416</v>
      </c>
      <c r="I254">
        <v>0</v>
      </c>
      <c r="J254">
        <v>6416</v>
      </c>
      <c r="K254">
        <v>0</v>
      </c>
      <c r="L254">
        <v>1977</v>
      </c>
      <c r="M254">
        <v>1298</v>
      </c>
      <c r="N254">
        <v>679</v>
      </c>
      <c r="O254">
        <v>69000</v>
      </c>
      <c r="P254">
        <v>1533</v>
      </c>
      <c r="Q254">
        <v>296</v>
      </c>
      <c r="R254">
        <v>104</v>
      </c>
      <c r="S254">
        <v>133</v>
      </c>
      <c r="T254" t="s">
        <v>3293</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3295</v>
      </c>
      <c r="B255">
        <v>1980</v>
      </c>
      <c r="C255" t="s">
        <v>173</v>
      </c>
      <c r="D255" t="s">
        <v>615</v>
      </c>
      <c r="E255" t="str">
        <f t="shared" si="3"/>
        <v>City of Fremont</v>
      </c>
      <c r="F255">
        <v>1080</v>
      </c>
      <c r="G255" t="s">
        <v>3296</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3297</v>
      </c>
      <c r="B256">
        <v>1980</v>
      </c>
      <c r="C256" t="s">
        <v>173</v>
      </c>
      <c r="D256" t="s">
        <v>616</v>
      </c>
      <c r="E256" t="str">
        <f t="shared" si="3"/>
        <v>City of Fresno</v>
      </c>
      <c r="F256">
        <v>1090</v>
      </c>
      <c r="G256" t="s">
        <v>3298</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3299</v>
      </c>
      <c r="B257">
        <v>1980</v>
      </c>
      <c r="C257" t="s">
        <v>173</v>
      </c>
      <c r="D257" t="s">
        <v>618</v>
      </c>
      <c r="E257" t="str">
        <f t="shared" si="3"/>
        <v>City of Fullerton</v>
      </c>
      <c r="F257">
        <v>1095</v>
      </c>
      <c r="G257" t="s">
        <v>3300</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3301</v>
      </c>
      <c r="B258">
        <v>1980</v>
      </c>
      <c r="C258" t="s">
        <v>173</v>
      </c>
      <c r="D258" t="s">
        <v>620</v>
      </c>
      <c r="E258" t="str">
        <f t="shared" si="3"/>
        <v>City of Galt</v>
      </c>
      <c r="F258">
        <v>1100</v>
      </c>
      <c r="G258" t="s">
        <v>3302</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3303</v>
      </c>
      <c r="B259">
        <v>1980</v>
      </c>
      <c r="C259" t="s">
        <v>173</v>
      </c>
      <c r="D259" t="s">
        <v>624</v>
      </c>
      <c r="E259" t="str">
        <f t="shared" si="3"/>
        <v>City of Gardena</v>
      </c>
      <c r="F259">
        <v>1105</v>
      </c>
      <c r="G259" t="s">
        <v>3304</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3305</v>
      </c>
      <c r="B260">
        <v>1980</v>
      </c>
      <c r="C260" t="s">
        <v>173</v>
      </c>
      <c r="D260" t="s">
        <v>3306</v>
      </c>
      <c r="E260" t="str">
        <f t="shared" si="3"/>
        <v>City of Garden Acres</v>
      </c>
      <c r="F260">
        <v>1107</v>
      </c>
      <c r="G260" t="s">
        <v>3307</v>
      </c>
      <c r="H260">
        <v>7361</v>
      </c>
      <c r="I260">
        <v>7361</v>
      </c>
      <c r="J260">
        <v>0</v>
      </c>
      <c r="K260">
        <v>0</v>
      </c>
      <c r="L260">
        <v>2608</v>
      </c>
      <c r="M260">
        <v>1760</v>
      </c>
      <c r="N260">
        <v>848</v>
      </c>
      <c r="O260">
        <v>30900</v>
      </c>
      <c r="P260">
        <v>2515</v>
      </c>
      <c r="Q260">
        <v>176</v>
      </c>
      <c r="R260">
        <v>2</v>
      </c>
      <c r="S260">
        <v>69</v>
      </c>
      <c r="T260" t="s">
        <v>3306</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3308</v>
      </c>
      <c r="B261">
        <v>1980</v>
      </c>
      <c r="C261" t="s">
        <v>173</v>
      </c>
      <c r="D261" t="s">
        <v>622</v>
      </c>
      <c r="E261" t="str">
        <f t="shared" ref="E261:E324" si="4">_xlfn.CONCAT("City of ",D261)</f>
        <v>City of Garden Grove</v>
      </c>
      <c r="F261">
        <v>1110</v>
      </c>
      <c r="G261" t="s">
        <v>3309</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3310</v>
      </c>
      <c r="B262">
        <v>1980</v>
      </c>
      <c r="C262" t="s">
        <v>173</v>
      </c>
      <c r="D262" t="s">
        <v>3311</v>
      </c>
      <c r="E262" t="str">
        <f t="shared" si="4"/>
        <v>City of George AFB</v>
      </c>
      <c r="F262">
        <v>1111</v>
      </c>
      <c r="G262" t="s">
        <v>3312</v>
      </c>
      <c r="H262">
        <v>7061</v>
      </c>
      <c r="I262">
        <v>0</v>
      </c>
      <c r="J262">
        <v>7061</v>
      </c>
      <c r="K262">
        <v>0</v>
      </c>
      <c r="L262">
        <v>1619</v>
      </c>
      <c r="M262">
        <v>1</v>
      </c>
      <c r="N262">
        <v>1618</v>
      </c>
      <c r="O262">
        <v>0</v>
      </c>
      <c r="P262">
        <v>1569</v>
      </c>
      <c r="Q262">
        <v>59</v>
      </c>
      <c r="R262">
        <v>10</v>
      </c>
      <c r="S262">
        <v>1</v>
      </c>
      <c r="T262" t="s">
        <v>3311</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3313</v>
      </c>
      <c r="B263">
        <v>1980</v>
      </c>
      <c r="C263" t="s">
        <v>173</v>
      </c>
      <c r="D263" t="s">
        <v>626</v>
      </c>
      <c r="E263" t="str">
        <f t="shared" si="4"/>
        <v>City of Gilroy</v>
      </c>
      <c r="F263">
        <v>1115</v>
      </c>
      <c r="G263" t="s">
        <v>3314</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3315</v>
      </c>
      <c r="B264">
        <v>1980</v>
      </c>
      <c r="C264" t="s">
        <v>173</v>
      </c>
      <c r="D264" t="s">
        <v>3316</v>
      </c>
      <c r="E264" t="str">
        <f t="shared" si="4"/>
        <v>City of Glen Avon</v>
      </c>
      <c r="F264">
        <v>1120</v>
      </c>
      <c r="G264" t="s">
        <v>3317</v>
      </c>
      <c r="H264">
        <v>8444</v>
      </c>
      <c r="I264">
        <v>8444</v>
      </c>
      <c r="J264">
        <v>0</v>
      </c>
      <c r="K264">
        <v>0</v>
      </c>
      <c r="L264">
        <v>3354</v>
      </c>
      <c r="M264">
        <v>1632</v>
      </c>
      <c r="N264">
        <v>1722</v>
      </c>
      <c r="O264">
        <v>63500</v>
      </c>
      <c r="P264">
        <v>2427</v>
      </c>
      <c r="Q264">
        <v>212</v>
      </c>
      <c r="R264">
        <v>748</v>
      </c>
      <c r="S264">
        <v>231</v>
      </c>
      <c r="T264" t="s">
        <v>3316</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3318</v>
      </c>
      <c r="B265">
        <v>1980</v>
      </c>
      <c r="C265" t="s">
        <v>173</v>
      </c>
      <c r="D265" t="s">
        <v>628</v>
      </c>
      <c r="E265" t="str">
        <f t="shared" si="4"/>
        <v>City of Glendale</v>
      </c>
      <c r="F265">
        <v>1130</v>
      </c>
      <c r="G265" t="s">
        <v>3319</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3320</v>
      </c>
      <c r="B266">
        <v>1980</v>
      </c>
      <c r="C266" t="s">
        <v>173</v>
      </c>
      <c r="D266" t="s">
        <v>630</v>
      </c>
      <c r="E266" t="str">
        <f t="shared" si="4"/>
        <v>City of Glendora</v>
      </c>
      <c r="F266">
        <v>1135</v>
      </c>
      <c r="G266" t="s">
        <v>3321</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3322</v>
      </c>
      <c r="B267">
        <v>1980</v>
      </c>
      <c r="C267" t="s">
        <v>173</v>
      </c>
      <c r="D267" t="s">
        <v>3323</v>
      </c>
      <c r="E267" t="str">
        <f t="shared" si="4"/>
        <v>City of Glen Ellen</v>
      </c>
      <c r="F267">
        <v>1137</v>
      </c>
      <c r="G267" t="s">
        <v>3324</v>
      </c>
      <c r="H267">
        <v>1014</v>
      </c>
      <c r="I267">
        <v>0</v>
      </c>
      <c r="J267">
        <v>0</v>
      </c>
      <c r="K267">
        <v>1014</v>
      </c>
      <c r="L267">
        <v>429</v>
      </c>
      <c r="M267">
        <v>254</v>
      </c>
      <c r="N267">
        <v>175</v>
      </c>
      <c r="O267">
        <v>84100</v>
      </c>
      <c r="P267">
        <v>407</v>
      </c>
      <c r="Q267">
        <v>51</v>
      </c>
      <c r="R267">
        <v>0</v>
      </c>
      <c r="S267">
        <v>6</v>
      </c>
      <c r="T267" t="s">
        <v>3323</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3325</v>
      </c>
      <c r="B268">
        <v>1980</v>
      </c>
      <c r="C268" t="s">
        <v>173</v>
      </c>
      <c r="D268" t="s">
        <v>634</v>
      </c>
      <c r="E268" t="str">
        <f t="shared" si="4"/>
        <v>City of Gonzales</v>
      </c>
      <c r="F268">
        <v>1140</v>
      </c>
      <c r="G268" t="s">
        <v>3326</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3327</v>
      </c>
      <c r="B269">
        <v>1980</v>
      </c>
      <c r="C269" t="s">
        <v>173</v>
      </c>
      <c r="D269" t="s">
        <v>3328</v>
      </c>
      <c r="E269" t="str">
        <f t="shared" si="4"/>
        <v>City of Goshen</v>
      </c>
      <c r="F269">
        <v>1145</v>
      </c>
      <c r="G269" t="s">
        <v>3329</v>
      </c>
      <c r="H269">
        <v>1809</v>
      </c>
      <c r="I269">
        <v>1809</v>
      </c>
      <c r="J269">
        <v>0</v>
      </c>
      <c r="K269">
        <v>0</v>
      </c>
      <c r="L269">
        <v>459</v>
      </c>
      <c r="M269">
        <v>331</v>
      </c>
      <c r="N269">
        <v>128</v>
      </c>
      <c r="O269">
        <v>32500</v>
      </c>
      <c r="P269">
        <v>440</v>
      </c>
      <c r="Q269">
        <v>15</v>
      </c>
      <c r="R269">
        <v>7</v>
      </c>
      <c r="S269">
        <v>12</v>
      </c>
      <c r="T269" t="s">
        <v>3328</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3330</v>
      </c>
      <c r="B270">
        <v>1980</v>
      </c>
      <c r="C270" t="s">
        <v>173</v>
      </c>
      <c r="D270" t="s">
        <v>636</v>
      </c>
      <c r="E270" t="str">
        <f t="shared" si="4"/>
        <v>City of Grand Terrace</v>
      </c>
      <c r="F270">
        <v>1147</v>
      </c>
      <c r="G270" t="s">
        <v>3331</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3332</v>
      </c>
      <c r="B271">
        <v>1980</v>
      </c>
      <c r="C271" t="s">
        <v>173</v>
      </c>
      <c r="D271" t="s">
        <v>638</v>
      </c>
      <c r="E271" t="str">
        <f t="shared" si="4"/>
        <v>City of Grass Valley</v>
      </c>
      <c r="F271">
        <v>1150</v>
      </c>
      <c r="G271" t="s">
        <v>3333</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3334</v>
      </c>
      <c r="B272">
        <v>1980</v>
      </c>
      <c r="C272" t="s">
        <v>173</v>
      </c>
      <c r="D272" t="s">
        <v>3335</v>
      </c>
      <c r="E272" t="str">
        <f t="shared" si="4"/>
        <v>City of Graton</v>
      </c>
      <c r="F272">
        <v>1153</v>
      </c>
      <c r="G272" t="s">
        <v>3336</v>
      </c>
      <c r="H272">
        <v>1286</v>
      </c>
      <c r="I272">
        <v>0</v>
      </c>
      <c r="J272">
        <v>0</v>
      </c>
      <c r="K272">
        <v>1286</v>
      </c>
      <c r="L272">
        <v>502</v>
      </c>
      <c r="M272">
        <v>365</v>
      </c>
      <c r="N272">
        <v>137</v>
      </c>
      <c r="O272">
        <v>69500</v>
      </c>
      <c r="P272">
        <v>393</v>
      </c>
      <c r="Q272">
        <v>73</v>
      </c>
      <c r="R272">
        <v>1</v>
      </c>
      <c r="S272">
        <v>63</v>
      </c>
      <c r="T272" t="s">
        <v>3335</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3337</v>
      </c>
      <c r="B273">
        <v>1980</v>
      </c>
      <c r="C273" t="s">
        <v>173</v>
      </c>
      <c r="D273" t="s">
        <v>3338</v>
      </c>
      <c r="E273" t="str">
        <f t="shared" si="4"/>
        <v>City of Greenacres</v>
      </c>
      <c r="F273">
        <v>1157</v>
      </c>
      <c r="G273" t="s">
        <v>3339</v>
      </c>
      <c r="H273">
        <v>5381</v>
      </c>
      <c r="I273">
        <v>5381</v>
      </c>
      <c r="J273">
        <v>0</v>
      </c>
      <c r="K273">
        <v>0</v>
      </c>
      <c r="L273">
        <v>1701</v>
      </c>
      <c r="M273">
        <v>1427</v>
      </c>
      <c r="N273">
        <v>274</v>
      </c>
      <c r="O273">
        <v>70500</v>
      </c>
      <c r="P273">
        <v>1570</v>
      </c>
      <c r="Q273">
        <v>87</v>
      </c>
      <c r="R273">
        <v>2</v>
      </c>
      <c r="S273">
        <v>124</v>
      </c>
      <c r="T273" t="s">
        <v>3338</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3340</v>
      </c>
      <c r="B274">
        <v>1980</v>
      </c>
      <c r="C274" t="s">
        <v>173</v>
      </c>
      <c r="D274" t="s">
        <v>640</v>
      </c>
      <c r="E274" t="str">
        <f t="shared" si="4"/>
        <v>City of Greenfield</v>
      </c>
      <c r="F274">
        <v>1160</v>
      </c>
      <c r="G274" t="s">
        <v>3341</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3342</v>
      </c>
      <c r="B275">
        <v>1980</v>
      </c>
      <c r="C275" t="s">
        <v>173</v>
      </c>
      <c r="D275" t="s">
        <v>3343</v>
      </c>
      <c r="E275" t="str">
        <f t="shared" si="4"/>
        <v>City of Greenville</v>
      </c>
      <c r="F275">
        <v>1165</v>
      </c>
      <c r="G275" t="s">
        <v>3344</v>
      </c>
      <c r="H275">
        <v>1537</v>
      </c>
      <c r="I275">
        <v>0</v>
      </c>
      <c r="J275">
        <v>0</v>
      </c>
      <c r="K275">
        <v>1537</v>
      </c>
      <c r="L275">
        <v>586</v>
      </c>
      <c r="M275">
        <v>360</v>
      </c>
      <c r="N275">
        <v>226</v>
      </c>
      <c r="O275">
        <v>44400</v>
      </c>
      <c r="P275">
        <v>464</v>
      </c>
      <c r="Q275">
        <v>98</v>
      </c>
      <c r="R275">
        <v>24</v>
      </c>
      <c r="S275">
        <v>72</v>
      </c>
      <c r="T275" t="s">
        <v>3343</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3345</v>
      </c>
      <c r="B276">
        <v>1980</v>
      </c>
      <c r="C276" t="s">
        <v>173</v>
      </c>
      <c r="D276" t="s">
        <v>642</v>
      </c>
      <c r="E276" t="str">
        <f t="shared" si="4"/>
        <v>City of Gridley</v>
      </c>
      <c r="F276">
        <v>1170</v>
      </c>
      <c r="G276" t="s">
        <v>3346</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3347</v>
      </c>
      <c r="B277">
        <v>1980</v>
      </c>
      <c r="C277" t="s">
        <v>173</v>
      </c>
      <c r="D277" t="s">
        <v>3348</v>
      </c>
      <c r="E277" t="str">
        <f t="shared" si="4"/>
        <v>City of Grover City</v>
      </c>
      <c r="F277">
        <v>1175</v>
      </c>
      <c r="G277" t="s">
        <v>3349</v>
      </c>
      <c r="H277">
        <v>8827</v>
      </c>
      <c r="I277">
        <v>0</v>
      </c>
      <c r="J277">
        <v>8827</v>
      </c>
      <c r="K277">
        <v>0</v>
      </c>
      <c r="L277">
        <v>3465</v>
      </c>
      <c r="M277">
        <v>1756</v>
      </c>
      <c r="N277">
        <v>1709</v>
      </c>
      <c r="O277">
        <v>62000</v>
      </c>
      <c r="P277">
        <v>2770</v>
      </c>
      <c r="Q277">
        <v>823</v>
      </c>
      <c r="R277">
        <v>122</v>
      </c>
      <c r="S277">
        <v>202</v>
      </c>
      <c r="T277" t="s">
        <v>3348</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3350</v>
      </c>
      <c r="B278">
        <v>1980</v>
      </c>
      <c r="C278" t="s">
        <v>173</v>
      </c>
      <c r="D278" t="s">
        <v>646</v>
      </c>
      <c r="E278" t="str">
        <f t="shared" si="4"/>
        <v>City of Guadalupe</v>
      </c>
      <c r="F278">
        <v>1180</v>
      </c>
      <c r="G278" t="s">
        <v>3351</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3352</v>
      </c>
      <c r="B279">
        <v>1980</v>
      </c>
      <c r="C279" t="s">
        <v>173</v>
      </c>
      <c r="D279" t="s">
        <v>3353</v>
      </c>
      <c r="E279" t="str">
        <f t="shared" si="4"/>
        <v>City of Guerneville</v>
      </c>
      <c r="F279">
        <v>1183</v>
      </c>
      <c r="G279" t="s">
        <v>3354</v>
      </c>
      <c r="H279">
        <v>1525</v>
      </c>
      <c r="I279">
        <v>0</v>
      </c>
      <c r="J279">
        <v>0</v>
      </c>
      <c r="K279">
        <v>1525</v>
      </c>
      <c r="L279">
        <v>671</v>
      </c>
      <c r="M279">
        <v>352</v>
      </c>
      <c r="N279">
        <v>319</v>
      </c>
      <c r="O279">
        <v>70900</v>
      </c>
      <c r="P279">
        <v>598</v>
      </c>
      <c r="Q279">
        <v>160</v>
      </c>
      <c r="R279">
        <v>135</v>
      </c>
      <c r="S279">
        <v>44</v>
      </c>
      <c r="T279" t="s">
        <v>3353</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3355</v>
      </c>
      <c r="B280">
        <v>1980</v>
      </c>
      <c r="C280" t="s">
        <v>173</v>
      </c>
      <c r="D280" t="s">
        <v>648</v>
      </c>
      <c r="E280" t="str">
        <f t="shared" si="4"/>
        <v>City of Gustine</v>
      </c>
      <c r="F280">
        <v>1185</v>
      </c>
      <c r="G280" t="s">
        <v>3356</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3357</v>
      </c>
      <c r="B281">
        <v>1980</v>
      </c>
      <c r="C281" t="s">
        <v>173</v>
      </c>
      <c r="D281" t="s">
        <v>3358</v>
      </c>
      <c r="E281" t="str">
        <f t="shared" si="4"/>
        <v>City of Hacienda Heights</v>
      </c>
      <c r="F281">
        <v>1188</v>
      </c>
      <c r="G281" t="s">
        <v>3359</v>
      </c>
      <c r="H281">
        <v>49422</v>
      </c>
      <c r="I281">
        <v>49422</v>
      </c>
      <c r="J281">
        <v>0</v>
      </c>
      <c r="K281">
        <v>0</v>
      </c>
      <c r="L281">
        <v>14221</v>
      </c>
      <c r="M281">
        <v>12438</v>
      </c>
      <c r="N281">
        <v>1783</v>
      </c>
      <c r="O281">
        <v>111100</v>
      </c>
      <c r="P281">
        <v>13368</v>
      </c>
      <c r="Q281">
        <v>785</v>
      </c>
      <c r="R281">
        <v>555</v>
      </c>
      <c r="S281">
        <v>385</v>
      </c>
      <c r="T281" t="s">
        <v>3358</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3360</v>
      </c>
      <c r="B282">
        <v>1980</v>
      </c>
      <c r="C282" t="s">
        <v>173</v>
      </c>
      <c r="D282" t="s">
        <v>650</v>
      </c>
      <c r="E282" t="str">
        <f t="shared" si="4"/>
        <v>City of Half Moon Bay</v>
      </c>
      <c r="F282">
        <v>1195</v>
      </c>
      <c r="G282" t="s">
        <v>3361</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3362</v>
      </c>
      <c r="B283">
        <v>1980</v>
      </c>
      <c r="C283" t="s">
        <v>173</v>
      </c>
      <c r="D283" t="s">
        <v>3363</v>
      </c>
      <c r="E283" t="str">
        <f t="shared" si="4"/>
        <v>City of Hamilton City</v>
      </c>
      <c r="F283">
        <v>1197</v>
      </c>
      <c r="G283" t="s">
        <v>3364</v>
      </c>
      <c r="H283">
        <v>1337</v>
      </c>
      <c r="I283">
        <v>0</v>
      </c>
      <c r="J283">
        <v>0</v>
      </c>
      <c r="K283">
        <v>1337</v>
      </c>
      <c r="L283">
        <v>368</v>
      </c>
      <c r="M283">
        <v>280</v>
      </c>
      <c r="N283">
        <v>88</v>
      </c>
      <c r="O283">
        <v>40900</v>
      </c>
      <c r="P283">
        <v>282</v>
      </c>
      <c r="Q283">
        <v>25</v>
      </c>
      <c r="R283">
        <v>0</v>
      </c>
      <c r="S283">
        <v>71</v>
      </c>
      <c r="T283" t="s">
        <v>3363</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3365</v>
      </c>
      <c r="B284">
        <v>1980</v>
      </c>
      <c r="C284" t="s">
        <v>173</v>
      </c>
      <c r="D284" t="s">
        <v>652</v>
      </c>
      <c r="E284" t="str">
        <f t="shared" si="4"/>
        <v>City of Hanford</v>
      </c>
      <c r="F284">
        <v>1200</v>
      </c>
      <c r="G284" t="s">
        <v>3366</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3367</v>
      </c>
      <c r="B285">
        <v>1980</v>
      </c>
      <c r="C285" t="s">
        <v>173</v>
      </c>
      <c r="D285" t="s">
        <v>3368</v>
      </c>
      <c r="E285" t="str">
        <f t="shared" si="4"/>
        <v>City of Happy Camp</v>
      </c>
      <c r="F285">
        <v>1209</v>
      </c>
      <c r="G285" t="s">
        <v>3369</v>
      </c>
      <c r="H285">
        <v>1110</v>
      </c>
      <c r="I285">
        <v>0</v>
      </c>
      <c r="J285">
        <v>0</v>
      </c>
      <c r="K285">
        <v>1110</v>
      </c>
      <c r="L285">
        <v>404</v>
      </c>
      <c r="M285">
        <v>239</v>
      </c>
      <c r="N285">
        <v>165</v>
      </c>
      <c r="O285">
        <v>41900</v>
      </c>
      <c r="P285">
        <v>233</v>
      </c>
      <c r="Q285">
        <v>29</v>
      </c>
      <c r="R285">
        <v>25</v>
      </c>
      <c r="S285">
        <v>183</v>
      </c>
      <c r="T285" t="s">
        <v>3368</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3370</v>
      </c>
      <c r="B286">
        <v>1980</v>
      </c>
      <c r="C286" t="s">
        <v>173</v>
      </c>
      <c r="D286" t="s">
        <v>654</v>
      </c>
      <c r="E286" t="str">
        <f t="shared" si="4"/>
        <v>City of Hawaiian Gardens</v>
      </c>
      <c r="F286">
        <v>1217</v>
      </c>
      <c r="G286" t="s">
        <v>3371</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3372</v>
      </c>
      <c r="B287">
        <v>1980</v>
      </c>
      <c r="C287" t="s">
        <v>173</v>
      </c>
      <c r="D287" t="s">
        <v>656</v>
      </c>
      <c r="E287" t="str">
        <f t="shared" si="4"/>
        <v>City of Hawthorne</v>
      </c>
      <c r="F287">
        <v>1220</v>
      </c>
      <c r="G287" t="s">
        <v>3373</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3374</v>
      </c>
      <c r="B288">
        <v>1980</v>
      </c>
      <c r="C288" t="s">
        <v>173</v>
      </c>
      <c r="D288" t="s">
        <v>3375</v>
      </c>
      <c r="E288" t="str">
        <f t="shared" si="4"/>
        <v>City of Hayfork</v>
      </c>
      <c r="F288">
        <v>1223</v>
      </c>
      <c r="G288" t="s">
        <v>3376</v>
      </c>
      <c r="H288">
        <v>1788</v>
      </c>
      <c r="I288">
        <v>0</v>
      </c>
      <c r="J288">
        <v>0</v>
      </c>
      <c r="K288">
        <v>1788</v>
      </c>
      <c r="L288">
        <v>647</v>
      </c>
      <c r="M288">
        <v>431</v>
      </c>
      <c r="N288">
        <v>216</v>
      </c>
      <c r="O288">
        <v>43100</v>
      </c>
      <c r="P288">
        <v>473</v>
      </c>
      <c r="Q288">
        <v>80</v>
      </c>
      <c r="R288">
        <v>3</v>
      </c>
      <c r="S288">
        <v>154</v>
      </c>
      <c r="T288" t="s">
        <v>3375</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3377</v>
      </c>
      <c r="B289">
        <v>1980</v>
      </c>
      <c r="C289" t="s">
        <v>173</v>
      </c>
      <c r="D289" t="s">
        <v>658</v>
      </c>
      <c r="E289" t="str">
        <f t="shared" si="4"/>
        <v>City of Hayward</v>
      </c>
      <c r="F289">
        <v>1225</v>
      </c>
      <c r="G289" t="s">
        <v>3378</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3379</v>
      </c>
      <c r="B290">
        <v>1980</v>
      </c>
      <c r="C290" t="s">
        <v>173</v>
      </c>
      <c r="D290" t="s">
        <v>660</v>
      </c>
      <c r="E290" t="str">
        <f t="shared" si="4"/>
        <v>City of Healdsburg</v>
      </c>
      <c r="F290">
        <v>1230</v>
      </c>
      <c r="G290" t="s">
        <v>3380</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3381</v>
      </c>
      <c r="B291">
        <v>1980</v>
      </c>
      <c r="C291" t="s">
        <v>173</v>
      </c>
      <c r="D291" t="s">
        <v>3382</v>
      </c>
      <c r="E291" t="str">
        <f t="shared" si="4"/>
        <v>City of Heber</v>
      </c>
      <c r="F291">
        <v>1232</v>
      </c>
      <c r="G291" t="s">
        <v>3383</v>
      </c>
      <c r="H291">
        <v>2221</v>
      </c>
      <c r="I291">
        <v>0</v>
      </c>
      <c r="J291">
        <v>0</v>
      </c>
      <c r="K291">
        <v>2221</v>
      </c>
      <c r="L291">
        <v>457</v>
      </c>
      <c r="M291">
        <v>384</v>
      </c>
      <c r="N291">
        <v>73</v>
      </c>
      <c r="O291">
        <v>38900</v>
      </c>
      <c r="P291">
        <v>357</v>
      </c>
      <c r="Q291">
        <v>77</v>
      </c>
      <c r="R291">
        <v>0</v>
      </c>
      <c r="S291">
        <v>37</v>
      </c>
      <c r="T291" t="s">
        <v>3382</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3384</v>
      </c>
      <c r="B292">
        <v>1980</v>
      </c>
      <c r="C292" t="s">
        <v>173</v>
      </c>
      <c r="D292" t="s">
        <v>662</v>
      </c>
      <c r="E292" t="str">
        <f t="shared" si="4"/>
        <v>City of Hemet</v>
      </c>
      <c r="F292">
        <v>1235</v>
      </c>
      <c r="G292" t="s">
        <v>3385</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3386</v>
      </c>
      <c r="B293">
        <v>1980</v>
      </c>
      <c r="C293" t="s">
        <v>173</v>
      </c>
      <c r="D293" t="s">
        <v>664</v>
      </c>
      <c r="E293" t="str">
        <f t="shared" si="4"/>
        <v>City of Hercules</v>
      </c>
      <c r="F293">
        <v>1245</v>
      </c>
      <c r="G293" t="s">
        <v>3387</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3388</v>
      </c>
      <c r="B294">
        <v>1980</v>
      </c>
      <c r="C294" t="s">
        <v>173</v>
      </c>
      <c r="D294" t="s">
        <v>3389</v>
      </c>
      <c r="E294" t="str">
        <f t="shared" si="4"/>
        <v>City of Herlong</v>
      </c>
      <c r="F294">
        <v>1248</v>
      </c>
      <c r="G294" t="s">
        <v>3390</v>
      </c>
      <c r="H294">
        <v>1188</v>
      </c>
      <c r="I294">
        <v>0</v>
      </c>
      <c r="J294">
        <v>0</v>
      </c>
      <c r="K294">
        <v>1188</v>
      </c>
      <c r="L294">
        <v>362</v>
      </c>
      <c r="M294">
        <v>132</v>
      </c>
      <c r="N294">
        <v>230</v>
      </c>
      <c r="O294">
        <v>36000</v>
      </c>
      <c r="P294">
        <v>175</v>
      </c>
      <c r="Q294">
        <v>199</v>
      </c>
      <c r="R294">
        <v>0</v>
      </c>
      <c r="S294">
        <v>2</v>
      </c>
      <c r="T294" t="s">
        <v>3389</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3391</v>
      </c>
      <c r="B295">
        <v>1980</v>
      </c>
      <c r="C295" t="s">
        <v>173</v>
      </c>
      <c r="D295" t="s">
        <v>666</v>
      </c>
      <c r="E295" t="str">
        <f t="shared" si="4"/>
        <v>City of Hermosa Beach</v>
      </c>
      <c r="F295">
        <v>1250</v>
      </c>
      <c r="G295" t="s">
        <v>3392</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3393</v>
      </c>
      <c r="B296">
        <v>1980</v>
      </c>
      <c r="C296" t="s">
        <v>173</v>
      </c>
      <c r="D296" t="s">
        <v>668</v>
      </c>
      <c r="E296" t="str">
        <f t="shared" si="4"/>
        <v>City of Hesperia</v>
      </c>
      <c r="F296">
        <v>1251</v>
      </c>
      <c r="G296" t="s">
        <v>3394</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3395</v>
      </c>
      <c r="B297">
        <v>1980</v>
      </c>
      <c r="C297" t="s">
        <v>173</v>
      </c>
      <c r="D297" t="s">
        <v>3396</v>
      </c>
      <c r="E297" t="str">
        <f t="shared" si="4"/>
        <v>City of Hidden Hills</v>
      </c>
      <c r="F297">
        <v>1252</v>
      </c>
      <c r="G297" t="s">
        <v>3397</v>
      </c>
      <c r="H297">
        <v>1760</v>
      </c>
      <c r="I297">
        <v>1760</v>
      </c>
      <c r="J297">
        <v>0</v>
      </c>
      <c r="K297">
        <v>0</v>
      </c>
      <c r="L297">
        <v>462</v>
      </c>
      <c r="M297">
        <v>445</v>
      </c>
      <c r="N297">
        <v>17</v>
      </c>
      <c r="O297">
        <v>200100</v>
      </c>
      <c r="P297">
        <v>476</v>
      </c>
      <c r="Q297">
        <v>10</v>
      </c>
      <c r="R297">
        <v>0</v>
      </c>
      <c r="S297">
        <v>0</v>
      </c>
      <c r="T297" t="s">
        <v>3396</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3398</v>
      </c>
      <c r="B298">
        <v>1980</v>
      </c>
      <c r="C298" t="s">
        <v>173</v>
      </c>
      <c r="D298" t="s">
        <v>670</v>
      </c>
      <c r="E298" t="str">
        <f t="shared" si="4"/>
        <v>City of Highland</v>
      </c>
      <c r="F298">
        <v>1253</v>
      </c>
      <c r="G298" t="s">
        <v>3399</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3400</v>
      </c>
      <c r="B299">
        <v>1980</v>
      </c>
      <c r="C299" t="s">
        <v>173</v>
      </c>
      <c r="D299" t="s">
        <v>672</v>
      </c>
      <c r="E299" t="str">
        <f t="shared" si="4"/>
        <v>City of Hillsborough</v>
      </c>
      <c r="F299">
        <v>1265</v>
      </c>
      <c r="G299" t="s">
        <v>3401</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3402</v>
      </c>
      <c r="B300">
        <v>1980</v>
      </c>
      <c r="C300" t="s">
        <v>173</v>
      </c>
      <c r="D300" t="s">
        <v>3403</v>
      </c>
      <c r="E300" t="str">
        <f t="shared" si="4"/>
        <v>City of Hilmar-Irwin</v>
      </c>
      <c r="F300">
        <v>1267</v>
      </c>
      <c r="G300" t="s">
        <v>3404</v>
      </c>
      <c r="H300">
        <v>1706</v>
      </c>
      <c r="I300">
        <v>0</v>
      </c>
      <c r="J300">
        <v>0</v>
      </c>
      <c r="K300">
        <v>1706</v>
      </c>
      <c r="L300">
        <v>562</v>
      </c>
      <c r="M300">
        <v>433</v>
      </c>
      <c r="N300">
        <v>129</v>
      </c>
      <c r="O300">
        <v>56400</v>
      </c>
      <c r="P300">
        <v>552</v>
      </c>
      <c r="Q300">
        <v>44</v>
      </c>
      <c r="R300">
        <v>0</v>
      </c>
      <c r="S300">
        <v>2</v>
      </c>
      <c r="T300" t="s">
        <v>3403</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3405</v>
      </c>
      <c r="B301">
        <v>1980</v>
      </c>
      <c r="C301" t="s">
        <v>173</v>
      </c>
      <c r="D301" t="s">
        <v>674</v>
      </c>
      <c r="E301" t="str">
        <f t="shared" si="4"/>
        <v>City of Hollister</v>
      </c>
      <c r="F301">
        <v>1270</v>
      </c>
      <c r="G301" t="s">
        <v>3406</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3407</v>
      </c>
      <c r="B302">
        <v>1980</v>
      </c>
      <c r="C302" t="s">
        <v>173</v>
      </c>
      <c r="D302" t="s">
        <v>676</v>
      </c>
      <c r="E302" t="str">
        <f t="shared" si="4"/>
        <v>City of Holtville</v>
      </c>
      <c r="F302">
        <v>1280</v>
      </c>
      <c r="G302" t="s">
        <v>3408</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3409</v>
      </c>
      <c r="B303">
        <v>1980</v>
      </c>
      <c r="C303" t="s">
        <v>173</v>
      </c>
      <c r="D303" t="s">
        <v>3410</v>
      </c>
      <c r="E303" t="str">
        <f t="shared" si="4"/>
        <v>City of Home Garden</v>
      </c>
      <c r="F303">
        <v>1284</v>
      </c>
      <c r="G303" t="s">
        <v>3411</v>
      </c>
      <c r="H303">
        <v>1495</v>
      </c>
      <c r="I303">
        <v>0</v>
      </c>
      <c r="J303">
        <v>0</v>
      </c>
      <c r="K303">
        <v>1495</v>
      </c>
      <c r="L303">
        <v>434</v>
      </c>
      <c r="M303">
        <v>294</v>
      </c>
      <c r="N303">
        <v>140</v>
      </c>
      <c r="O303">
        <v>28100</v>
      </c>
      <c r="P303">
        <v>426</v>
      </c>
      <c r="Q303">
        <v>17</v>
      </c>
      <c r="R303">
        <v>0</v>
      </c>
      <c r="S303">
        <v>20</v>
      </c>
      <c r="T303" t="s">
        <v>3410</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3412</v>
      </c>
      <c r="B304">
        <v>1980</v>
      </c>
      <c r="C304" t="s">
        <v>173</v>
      </c>
      <c r="D304" t="s">
        <v>3413</v>
      </c>
      <c r="E304" t="str">
        <f t="shared" si="4"/>
        <v>City of Home Gardens</v>
      </c>
      <c r="F304">
        <v>1285</v>
      </c>
      <c r="G304" t="s">
        <v>3414</v>
      </c>
      <c r="H304">
        <v>5783</v>
      </c>
      <c r="I304">
        <v>5783</v>
      </c>
      <c r="J304">
        <v>0</v>
      </c>
      <c r="K304">
        <v>0</v>
      </c>
      <c r="L304">
        <v>1642</v>
      </c>
      <c r="M304">
        <v>1211</v>
      </c>
      <c r="N304">
        <v>431</v>
      </c>
      <c r="O304">
        <v>63500</v>
      </c>
      <c r="P304">
        <v>1397</v>
      </c>
      <c r="Q304">
        <v>173</v>
      </c>
      <c r="R304">
        <v>40</v>
      </c>
      <c r="S304">
        <v>98</v>
      </c>
      <c r="T304" t="s">
        <v>3413</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3415</v>
      </c>
      <c r="B305">
        <v>1980</v>
      </c>
      <c r="C305" t="s">
        <v>173</v>
      </c>
      <c r="D305" t="s">
        <v>3416</v>
      </c>
      <c r="E305" t="str">
        <f t="shared" si="4"/>
        <v>City of Homeland</v>
      </c>
      <c r="F305">
        <v>1286</v>
      </c>
      <c r="G305" t="s">
        <v>3417</v>
      </c>
      <c r="H305">
        <v>2616</v>
      </c>
      <c r="I305">
        <v>0</v>
      </c>
      <c r="J305">
        <v>2616</v>
      </c>
      <c r="K305">
        <v>0</v>
      </c>
      <c r="L305">
        <v>1276</v>
      </c>
      <c r="M305">
        <v>1165</v>
      </c>
      <c r="N305">
        <v>111</v>
      </c>
      <c r="O305">
        <v>41800</v>
      </c>
      <c r="P305">
        <v>576</v>
      </c>
      <c r="Q305">
        <v>11</v>
      </c>
      <c r="R305">
        <v>0</v>
      </c>
      <c r="S305">
        <v>830</v>
      </c>
      <c r="T305" t="s">
        <v>3416</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3418</v>
      </c>
      <c r="B306">
        <v>1980</v>
      </c>
      <c r="C306" t="s">
        <v>173</v>
      </c>
      <c r="D306" t="s">
        <v>678</v>
      </c>
      <c r="E306" t="str">
        <f t="shared" si="4"/>
        <v>City of Hughson</v>
      </c>
      <c r="F306">
        <v>1295</v>
      </c>
      <c r="G306" t="s">
        <v>3419</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3420</v>
      </c>
      <c r="B307">
        <v>1980</v>
      </c>
      <c r="C307" t="s">
        <v>173</v>
      </c>
      <c r="D307" t="s">
        <v>680</v>
      </c>
      <c r="E307" t="str">
        <f t="shared" si="4"/>
        <v>City of Huntington Beach</v>
      </c>
      <c r="F307">
        <v>1300</v>
      </c>
      <c r="G307" t="s">
        <v>3421</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3422</v>
      </c>
      <c r="B308">
        <v>1980</v>
      </c>
      <c r="C308" t="s">
        <v>173</v>
      </c>
      <c r="D308" t="s">
        <v>682</v>
      </c>
      <c r="E308" t="str">
        <f t="shared" si="4"/>
        <v>City of Huntington Park</v>
      </c>
      <c r="F308">
        <v>1305</v>
      </c>
      <c r="G308" t="s">
        <v>3423</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3424</v>
      </c>
      <c r="B309">
        <v>1980</v>
      </c>
      <c r="C309" t="s">
        <v>173</v>
      </c>
      <c r="D309" t="s">
        <v>684</v>
      </c>
      <c r="E309" t="str">
        <f t="shared" si="4"/>
        <v>City of Huron</v>
      </c>
      <c r="F309">
        <v>1310</v>
      </c>
      <c r="G309" t="s">
        <v>3425</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3426</v>
      </c>
      <c r="B310">
        <v>1980</v>
      </c>
      <c r="C310" t="s">
        <v>173</v>
      </c>
      <c r="D310" t="s">
        <v>3427</v>
      </c>
      <c r="E310" t="str">
        <f t="shared" si="4"/>
        <v>City of Idyllwild-Pine Cove</v>
      </c>
      <c r="F310">
        <v>1314</v>
      </c>
      <c r="G310" t="s">
        <v>3428</v>
      </c>
      <c r="H310">
        <v>2959</v>
      </c>
      <c r="I310">
        <v>0</v>
      </c>
      <c r="J310">
        <v>2959</v>
      </c>
      <c r="K310">
        <v>0</v>
      </c>
      <c r="L310">
        <v>1227</v>
      </c>
      <c r="M310">
        <v>824</v>
      </c>
      <c r="N310">
        <v>403</v>
      </c>
      <c r="O310">
        <v>83600</v>
      </c>
      <c r="P310">
        <v>2893</v>
      </c>
      <c r="Q310">
        <v>250</v>
      </c>
      <c r="R310">
        <v>21</v>
      </c>
      <c r="S310">
        <v>152</v>
      </c>
      <c r="T310" t="s">
        <v>3427</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3429</v>
      </c>
      <c r="B311">
        <v>1980</v>
      </c>
      <c r="C311" t="s">
        <v>173</v>
      </c>
      <c r="D311" t="s">
        <v>686</v>
      </c>
      <c r="E311" t="str">
        <f t="shared" si="4"/>
        <v>City of Imperial</v>
      </c>
      <c r="F311">
        <v>1317</v>
      </c>
      <c r="G311" t="s">
        <v>3430</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3431</v>
      </c>
      <c r="B312">
        <v>1980</v>
      </c>
      <c r="C312" t="s">
        <v>173</v>
      </c>
      <c r="D312" t="s">
        <v>688</v>
      </c>
      <c r="E312" t="str">
        <f t="shared" si="4"/>
        <v>City of Imperial Beach</v>
      </c>
      <c r="F312">
        <v>1320</v>
      </c>
      <c r="G312" t="s">
        <v>3432</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3433</v>
      </c>
      <c r="B313">
        <v>1980</v>
      </c>
      <c r="C313" t="s">
        <v>173</v>
      </c>
      <c r="D313" t="s">
        <v>690</v>
      </c>
      <c r="E313" t="str">
        <f t="shared" si="4"/>
        <v>City of Indian Wells</v>
      </c>
      <c r="F313">
        <v>1327</v>
      </c>
      <c r="G313" t="s">
        <v>3434</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3435</v>
      </c>
      <c r="B314">
        <v>1980</v>
      </c>
      <c r="C314" t="s">
        <v>173</v>
      </c>
      <c r="D314" t="s">
        <v>692</v>
      </c>
      <c r="E314" t="str">
        <f t="shared" si="4"/>
        <v>City of Indio</v>
      </c>
      <c r="F314">
        <v>1330</v>
      </c>
      <c r="G314" t="s">
        <v>3436</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3437</v>
      </c>
      <c r="B315">
        <v>1980</v>
      </c>
      <c r="C315" t="s">
        <v>173</v>
      </c>
      <c r="D315" t="s">
        <v>694</v>
      </c>
      <c r="E315" t="str">
        <f t="shared" si="4"/>
        <v>City of Industry</v>
      </c>
      <c r="F315">
        <v>1335</v>
      </c>
      <c r="G315" t="s">
        <v>3438</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3439</v>
      </c>
      <c r="B316">
        <v>1980</v>
      </c>
      <c r="C316" t="s">
        <v>173</v>
      </c>
      <c r="D316" t="s">
        <v>696</v>
      </c>
      <c r="E316" t="str">
        <f t="shared" si="4"/>
        <v>City of Inglewood</v>
      </c>
      <c r="F316">
        <v>1340</v>
      </c>
      <c r="G316" t="s">
        <v>3440</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3441</v>
      </c>
      <c r="B317">
        <v>1980</v>
      </c>
      <c r="C317" t="s">
        <v>173</v>
      </c>
      <c r="D317" t="s">
        <v>698</v>
      </c>
      <c r="E317" t="str">
        <f t="shared" si="4"/>
        <v>City of Ione</v>
      </c>
      <c r="F317">
        <v>1345</v>
      </c>
      <c r="G317" t="s">
        <v>3442</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3443</v>
      </c>
      <c r="B318">
        <v>1980</v>
      </c>
      <c r="C318" t="s">
        <v>173</v>
      </c>
      <c r="D318" t="s">
        <v>700</v>
      </c>
      <c r="E318" t="str">
        <f t="shared" si="4"/>
        <v>City of Irvine</v>
      </c>
      <c r="F318">
        <v>1347</v>
      </c>
      <c r="G318" t="s">
        <v>3444</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3445</v>
      </c>
      <c r="B319">
        <v>1980</v>
      </c>
      <c r="C319" t="s">
        <v>173</v>
      </c>
      <c r="D319" t="s">
        <v>702</v>
      </c>
      <c r="E319" t="str">
        <f t="shared" si="4"/>
        <v>City of Irwindale</v>
      </c>
      <c r="F319">
        <v>1350</v>
      </c>
      <c r="G319" t="s">
        <v>3446</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3447</v>
      </c>
      <c r="B320">
        <v>1980</v>
      </c>
      <c r="C320" t="s">
        <v>173</v>
      </c>
      <c r="D320" t="s">
        <v>704</v>
      </c>
      <c r="E320" t="str">
        <f t="shared" si="4"/>
        <v>City of Isleton</v>
      </c>
      <c r="F320">
        <v>1355</v>
      </c>
      <c r="G320" t="s">
        <v>3448</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3449</v>
      </c>
      <c r="B321">
        <v>1980</v>
      </c>
      <c r="C321" t="s">
        <v>173</v>
      </c>
      <c r="D321" t="s">
        <v>3450</v>
      </c>
      <c r="E321" t="str">
        <f t="shared" si="4"/>
        <v>City of Ivanhoe</v>
      </c>
      <c r="F321">
        <v>1360</v>
      </c>
      <c r="G321" t="s">
        <v>3451</v>
      </c>
      <c r="H321">
        <v>2684</v>
      </c>
      <c r="I321">
        <v>0</v>
      </c>
      <c r="J321">
        <v>2684</v>
      </c>
      <c r="K321">
        <v>0</v>
      </c>
      <c r="L321">
        <v>869</v>
      </c>
      <c r="M321">
        <v>631</v>
      </c>
      <c r="N321">
        <v>238</v>
      </c>
      <c r="O321">
        <v>35800</v>
      </c>
      <c r="P321">
        <v>772</v>
      </c>
      <c r="Q321">
        <v>66</v>
      </c>
      <c r="R321">
        <v>8</v>
      </c>
      <c r="S321">
        <v>51</v>
      </c>
      <c r="T321" t="s">
        <v>3450</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3452</v>
      </c>
      <c r="B322">
        <v>1980</v>
      </c>
      <c r="C322" t="s">
        <v>173</v>
      </c>
      <c r="D322" t="s">
        <v>706</v>
      </c>
      <c r="E322" t="str">
        <f t="shared" si="4"/>
        <v>City of Jackson</v>
      </c>
      <c r="F322">
        <v>1365</v>
      </c>
      <c r="G322" t="s">
        <v>3453</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3454</v>
      </c>
      <c r="B323">
        <v>1980</v>
      </c>
      <c r="C323" t="s">
        <v>173</v>
      </c>
      <c r="D323" t="s">
        <v>3455</v>
      </c>
      <c r="E323" t="str">
        <f t="shared" si="4"/>
        <v>City of Jamestown</v>
      </c>
      <c r="F323">
        <v>1367</v>
      </c>
      <c r="G323" t="s">
        <v>3456</v>
      </c>
      <c r="H323">
        <v>2206</v>
      </c>
      <c r="I323">
        <v>0</v>
      </c>
      <c r="J323">
        <v>0</v>
      </c>
      <c r="K323">
        <v>2206</v>
      </c>
      <c r="L323">
        <v>845</v>
      </c>
      <c r="M323">
        <v>566</v>
      </c>
      <c r="N323">
        <v>279</v>
      </c>
      <c r="O323">
        <v>58300</v>
      </c>
      <c r="P323">
        <v>541</v>
      </c>
      <c r="Q323">
        <v>61</v>
      </c>
      <c r="R323">
        <v>51</v>
      </c>
      <c r="S323">
        <v>256</v>
      </c>
      <c r="T323" t="s">
        <v>3455</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3457</v>
      </c>
      <c r="B324">
        <v>1980</v>
      </c>
      <c r="C324" t="s">
        <v>173</v>
      </c>
      <c r="D324" t="s">
        <v>3458</v>
      </c>
      <c r="E324" t="str">
        <f t="shared" si="4"/>
        <v>City of Jamul</v>
      </c>
      <c r="F324">
        <v>1368</v>
      </c>
      <c r="G324" t="s">
        <v>3459</v>
      </c>
      <c r="H324">
        <v>1826</v>
      </c>
      <c r="I324">
        <v>0</v>
      </c>
      <c r="J324">
        <v>0</v>
      </c>
      <c r="K324">
        <v>1826</v>
      </c>
      <c r="L324">
        <v>593</v>
      </c>
      <c r="M324">
        <v>482</v>
      </c>
      <c r="N324">
        <v>111</v>
      </c>
      <c r="O324">
        <v>117800</v>
      </c>
      <c r="P324">
        <v>546</v>
      </c>
      <c r="Q324">
        <v>22</v>
      </c>
      <c r="R324">
        <v>0</v>
      </c>
      <c r="S324">
        <v>44</v>
      </c>
      <c r="T324" t="s">
        <v>3458</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3460</v>
      </c>
      <c r="B325">
        <v>1980</v>
      </c>
      <c r="C325" t="s">
        <v>173</v>
      </c>
      <c r="D325" t="s">
        <v>3461</v>
      </c>
      <c r="E325" t="str">
        <f t="shared" ref="E325:E388" si="5">_xlfn.CONCAT("City of ",D325)</f>
        <v>City of Johnson Park</v>
      </c>
      <c r="F325">
        <v>1375</v>
      </c>
      <c r="G325" t="s">
        <v>3462</v>
      </c>
      <c r="H325">
        <v>1008</v>
      </c>
      <c r="I325">
        <v>0</v>
      </c>
      <c r="J325">
        <v>0</v>
      </c>
      <c r="K325">
        <v>1008</v>
      </c>
      <c r="L325">
        <v>378</v>
      </c>
      <c r="M325">
        <v>290</v>
      </c>
      <c r="N325">
        <v>88</v>
      </c>
      <c r="O325">
        <v>47400</v>
      </c>
      <c r="P325">
        <v>220</v>
      </c>
      <c r="Q325">
        <v>32</v>
      </c>
      <c r="R325">
        <v>0</v>
      </c>
      <c r="S325">
        <v>154</v>
      </c>
      <c r="T325" t="s">
        <v>3461</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3463</v>
      </c>
      <c r="B326">
        <v>1980</v>
      </c>
      <c r="C326" t="s">
        <v>173</v>
      </c>
      <c r="D326" t="s">
        <v>3464</v>
      </c>
      <c r="E326" t="str">
        <f t="shared" si="5"/>
        <v>City of Joshua Tree</v>
      </c>
      <c r="F326">
        <v>1377</v>
      </c>
      <c r="G326" t="s">
        <v>3465</v>
      </c>
      <c r="H326">
        <v>2083</v>
      </c>
      <c r="I326">
        <v>0</v>
      </c>
      <c r="J326">
        <v>0</v>
      </c>
      <c r="K326">
        <v>2083</v>
      </c>
      <c r="L326">
        <v>969</v>
      </c>
      <c r="M326">
        <v>726</v>
      </c>
      <c r="N326">
        <v>243</v>
      </c>
      <c r="O326">
        <v>42200</v>
      </c>
      <c r="P326">
        <v>982</v>
      </c>
      <c r="Q326">
        <v>100</v>
      </c>
      <c r="R326">
        <v>12</v>
      </c>
      <c r="S326">
        <v>82</v>
      </c>
      <c r="T326" t="s">
        <v>3464</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3466</v>
      </c>
      <c r="B327">
        <v>1980</v>
      </c>
      <c r="C327" t="s">
        <v>173</v>
      </c>
      <c r="D327" t="s">
        <v>3467</v>
      </c>
      <c r="E327" t="str">
        <f t="shared" si="5"/>
        <v>City of Julian</v>
      </c>
      <c r="F327">
        <v>1379</v>
      </c>
      <c r="G327" t="s">
        <v>3468</v>
      </c>
      <c r="H327">
        <v>1320</v>
      </c>
      <c r="I327">
        <v>0</v>
      </c>
      <c r="J327">
        <v>0</v>
      </c>
      <c r="K327">
        <v>1320</v>
      </c>
      <c r="L327">
        <v>519</v>
      </c>
      <c r="M327">
        <v>358</v>
      </c>
      <c r="N327">
        <v>161</v>
      </c>
      <c r="O327">
        <v>75200</v>
      </c>
      <c r="P327">
        <v>701</v>
      </c>
      <c r="Q327">
        <v>54</v>
      </c>
      <c r="R327">
        <v>2</v>
      </c>
      <c r="S327">
        <v>37</v>
      </c>
      <c r="T327" t="s">
        <v>3467</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3469</v>
      </c>
      <c r="B328">
        <v>1980</v>
      </c>
      <c r="C328" t="s">
        <v>173</v>
      </c>
      <c r="D328" t="s">
        <v>3470</v>
      </c>
      <c r="E328" t="str">
        <f t="shared" si="5"/>
        <v>City of Kelseyville</v>
      </c>
      <c r="F328">
        <v>1380</v>
      </c>
      <c r="G328" t="s">
        <v>3471</v>
      </c>
      <c r="H328">
        <v>1567</v>
      </c>
      <c r="I328">
        <v>0</v>
      </c>
      <c r="J328">
        <v>0</v>
      </c>
      <c r="K328">
        <v>1567</v>
      </c>
      <c r="L328">
        <v>635</v>
      </c>
      <c r="M328">
        <v>484</v>
      </c>
      <c r="N328">
        <v>151</v>
      </c>
      <c r="O328">
        <v>54100</v>
      </c>
      <c r="P328">
        <v>325</v>
      </c>
      <c r="Q328">
        <v>37</v>
      </c>
      <c r="R328">
        <v>24</v>
      </c>
      <c r="S328">
        <v>344</v>
      </c>
      <c r="T328" t="s">
        <v>3470</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3472</v>
      </c>
      <c r="B329">
        <v>1980</v>
      </c>
      <c r="C329" t="s">
        <v>173</v>
      </c>
      <c r="D329" t="s">
        <v>3473</v>
      </c>
      <c r="E329" t="str">
        <f t="shared" si="5"/>
        <v>City of Kensington</v>
      </c>
      <c r="F329">
        <v>1386</v>
      </c>
      <c r="G329" t="s">
        <v>3474</v>
      </c>
      <c r="H329">
        <v>5342</v>
      </c>
      <c r="I329">
        <v>5342</v>
      </c>
      <c r="J329">
        <v>0</v>
      </c>
      <c r="K329">
        <v>0</v>
      </c>
      <c r="L329">
        <v>2246</v>
      </c>
      <c r="M329">
        <v>1876</v>
      </c>
      <c r="N329">
        <v>370</v>
      </c>
      <c r="O329">
        <v>130000</v>
      </c>
      <c r="P329">
        <v>2097</v>
      </c>
      <c r="Q329">
        <v>181</v>
      </c>
      <c r="R329">
        <v>8</v>
      </c>
      <c r="S329">
        <v>1</v>
      </c>
      <c r="T329" t="s">
        <v>3473</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3475</v>
      </c>
      <c r="B330">
        <v>1980</v>
      </c>
      <c r="C330" t="s">
        <v>173</v>
      </c>
      <c r="D330" t="s">
        <v>710</v>
      </c>
      <c r="E330" t="str">
        <f t="shared" si="5"/>
        <v>City of Kerman</v>
      </c>
      <c r="F330">
        <v>1390</v>
      </c>
      <c r="G330" t="s">
        <v>3476</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3477</v>
      </c>
      <c r="B331">
        <v>1980</v>
      </c>
      <c r="C331" t="s">
        <v>173</v>
      </c>
      <c r="D331" t="s">
        <v>3478</v>
      </c>
      <c r="E331" t="str">
        <f t="shared" si="5"/>
        <v>City of Kernville</v>
      </c>
      <c r="F331">
        <v>1392</v>
      </c>
      <c r="G331" t="s">
        <v>3479</v>
      </c>
      <c r="H331">
        <v>1660</v>
      </c>
      <c r="I331">
        <v>0</v>
      </c>
      <c r="J331">
        <v>0</v>
      </c>
      <c r="K331">
        <v>1660</v>
      </c>
      <c r="L331">
        <v>728</v>
      </c>
      <c r="M331">
        <v>490</v>
      </c>
      <c r="N331">
        <v>238</v>
      </c>
      <c r="O331">
        <v>58100</v>
      </c>
      <c r="P331">
        <v>578</v>
      </c>
      <c r="Q331">
        <v>109</v>
      </c>
      <c r="R331">
        <v>7</v>
      </c>
      <c r="S331">
        <v>191</v>
      </c>
      <c r="T331" t="s">
        <v>3478</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3480</v>
      </c>
      <c r="B332">
        <v>1980</v>
      </c>
      <c r="C332" t="s">
        <v>173</v>
      </c>
      <c r="D332" t="s">
        <v>3481</v>
      </c>
      <c r="E332" t="str">
        <f t="shared" si="5"/>
        <v>City of Kettleman City</v>
      </c>
      <c r="F332">
        <v>1393</v>
      </c>
      <c r="G332" t="s">
        <v>3482</v>
      </c>
      <c r="H332">
        <v>1051</v>
      </c>
      <c r="I332">
        <v>0</v>
      </c>
      <c r="J332">
        <v>0</v>
      </c>
      <c r="K332">
        <v>1051</v>
      </c>
      <c r="L332">
        <v>242</v>
      </c>
      <c r="M332">
        <v>133</v>
      </c>
      <c r="N332">
        <v>109</v>
      </c>
      <c r="O332">
        <v>22100</v>
      </c>
      <c r="P332">
        <v>203</v>
      </c>
      <c r="Q332">
        <v>39</v>
      </c>
      <c r="R332">
        <v>1</v>
      </c>
      <c r="S332">
        <v>30</v>
      </c>
      <c r="T332" t="s">
        <v>3481</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3483</v>
      </c>
      <c r="B333">
        <v>1980</v>
      </c>
      <c r="C333" t="s">
        <v>173</v>
      </c>
      <c r="D333" t="s">
        <v>712</v>
      </c>
      <c r="E333" t="str">
        <f t="shared" si="5"/>
        <v>City of King City</v>
      </c>
      <c r="F333">
        <v>1400</v>
      </c>
      <c r="G333" t="s">
        <v>3484</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3485</v>
      </c>
      <c r="B334">
        <v>1980</v>
      </c>
      <c r="C334" t="s">
        <v>173</v>
      </c>
      <c r="D334" t="s">
        <v>3486</v>
      </c>
      <c r="E334" t="str">
        <f t="shared" si="5"/>
        <v>City of Kings Beach</v>
      </c>
      <c r="F334">
        <v>1403</v>
      </c>
      <c r="G334" t="s">
        <v>3487</v>
      </c>
      <c r="H334">
        <v>1942</v>
      </c>
      <c r="I334">
        <v>0</v>
      </c>
      <c r="J334">
        <v>0</v>
      </c>
      <c r="K334">
        <v>1942</v>
      </c>
      <c r="L334">
        <v>889</v>
      </c>
      <c r="M334">
        <v>291</v>
      </c>
      <c r="N334">
        <v>598</v>
      </c>
      <c r="O334">
        <v>83200</v>
      </c>
      <c r="P334">
        <v>556</v>
      </c>
      <c r="Q334">
        <v>369</v>
      </c>
      <c r="R334">
        <v>160</v>
      </c>
      <c r="S334">
        <v>67</v>
      </c>
      <c r="T334" t="s">
        <v>3486</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3488</v>
      </c>
      <c r="B335">
        <v>1980</v>
      </c>
      <c r="C335" t="s">
        <v>173</v>
      </c>
      <c r="D335" t="s">
        <v>714</v>
      </c>
      <c r="E335" t="str">
        <f t="shared" si="5"/>
        <v>City of Kingsburg</v>
      </c>
      <c r="F335">
        <v>1405</v>
      </c>
      <c r="G335" t="s">
        <v>3489</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3490</v>
      </c>
      <c r="B336">
        <v>1980</v>
      </c>
      <c r="C336" t="s">
        <v>173</v>
      </c>
      <c r="D336" t="s">
        <v>3491</v>
      </c>
      <c r="E336" t="str">
        <f t="shared" si="5"/>
        <v>City of La Canada Flintridge</v>
      </c>
      <c r="F336">
        <v>1410</v>
      </c>
      <c r="G336" t="s">
        <v>3492</v>
      </c>
      <c r="H336">
        <v>20153</v>
      </c>
      <c r="I336">
        <v>20153</v>
      </c>
      <c r="J336">
        <v>0</v>
      </c>
      <c r="K336">
        <v>0</v>
      </c>
      <c r="L336">
        <v>6719</v>
      </c>
      <c r="M336">
        <v>5980</v>
      </c>
      <c r="N336">
        <v>739</v>
      </c>
      <c r="O336">
        <v>172500</v>
      </c>
      <c r="P336">
        <v>6473</v>
      </c>
      <c r="Q336">
        <v>313</v>
      </c>
      <c r="R336">
        <v>82</v>
      </c>
      <c r="S336">
        <v>0</v>
      </c>
      <c r="T336" t="s">
        <v>3491</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3493</v>
      </c>
      <c r="B337">
        <v>1980</v>
      </c>
      <c r="C337" t="s">
        <v>173</v>
      </c>
      <c r="D337" t="s">
        <v>3494</v>
      </c>
      <c r="E337" t="str">
        <f t="shared" si="5"/>
        <v>City of La Crescenta-Montrose</v>
      </c>
      <c r="F337">
        <v>1412</v>
      </c>
      <c r="G337" t="s">
        <v>3495</v>
      </c>
      <c r="H337">
        <v>16531</v>
      </c>
      <c r="I337">
        <v>16531</v>
      </c>
      <c r="J337">
        <v>0</v>
      </c>
      <c r="K337">
        <v>0</v>
      </c>
      <c r="L337">
        <v>6323</v>
      </c>
      <c r="M337">
        <v>4280</v>
      </c>
      <c r="N337">
        <v>2043</v>
      </c>
      <c r="O337">
        <v>104900</v>
      </c>
      <c r="P337">
        <v>5503</v>
      </c>
      <c r="Q337">
        <v>531</v>
      </c>
      <c r="R337">
        <v>495</v>
      </c>
      <c r="S337">
        <v>4</v>
      </c>
      <c r="T337" t="s">
        <v>3494</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3496</v>
      </c>
      <c r="B338">
        <v>1980</v>
      </c>
      <c r="C338" t="s">
        <v>173</v>
      </c>
      <c r="D338" t="s">
        <v>3497</v>
      </c>
      <c r="E338" t="str">
        <f t="shared" si="5"/>
        <v>City of Ladera Heights</v>
      </c>
      <c r="F338">
        <v>1413</v>
      </c>
      <c r="G338" t="s">
        <v>3498</v>
      </c>
      <c r="H338">
        <v>6647</v>
      </c>
      <c r="I338">
        <v>6647</v>
      </c>
      <c r="J338">
        <v>0</v>
      </c>
      <c r="K338">
        <v>0</v>
      </c>
      <c r="L338">
        <v>2562</v>
      </c>
      <c r="M338">
        <v>1988</v>
      </c>
      <c r="N338">
        <v>574</v>
      </c>
      <c r="O338">
        <v>188000</v>
      </c>
      <c r="P338">
        <v>2259</v>
      </c>
      <c r="Q338">
        <v>138</v>
      </c>
      <c r="R338">
        <v>221</v>
      </c>
      <c r="S338">
        <v>0</v>
      </c>
      <c r="T338" t="s">
        <v>3497</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3499</v>
      </c>
      <c r="B339">
        <v>1980</v>
      </c>
      <c r="C339" t="s">
        <v>173</v>
      </c>
      <c r="D339" t="s">
        <v>732</v>
      </c>
      <c r="E339" t="str">
        <f t="shared" si="5"/>
        <v>City of Lafayette</v>
      </c>
      <c r="F339">
        <v>1415</v>
      </c>
      <c r="G339" t="s">
        <v>3500</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3501</v>
      </c>
      <c r="B340">
        <v>1980</v>
      </c>
      <c r="C340" t="s">
        <v>173</v>
      </c>
      <c r="D340" t="s">
        <v>734</v>
      </c>
      <c r="E340" t="str">
        <f t="shared" si="5"/>
        <v>City of Laguna Beach</v>
      </c>
      <c r="F340">
        <v>1420</v>
      </c>
      <c r="G340" t="s">
        <v>3502</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3503</v>
      </c>
      <c r="B341">
        <v>1980</v>
      </c>
      <c r="C341" t="s">
        <v>173</v>
      </c>
      <c r="D341" t="s">
        <v>736</v>
      </c>
      <c r="E341" t="str">
        <f t="shared" si="5"/>
        <v>City of Laguna Hills</v>
      </c>
      <c r="F341">
        <v>1423</v>
      </c>
      <c r="G341" t="s">
        <v>3504</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3505</v>
      </c>
      <c r="B342">
        <v>1980</v>
      </c>
      <c r="C342" t="s">
        <v>173</v>
      </c>
      <c r="D342" t="s">
        <v>738</v>
      </c>
      <c r="E342" t="str">
        <f t="shared" si="5"/>
        <v>City of Laguna Niguel</v>
      </c>
      <c r="F342">
        <v>1424</v>
      </c>
      <c r="G342" t="s">
        <v>3506</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3507</v>
      </c>
      <c r="B343">
        <v>1980</v>
      </c>
      <c r="C343" t="s">
        <v>173</v>
      </c>
      <c r="D343" t="s">
        <v>3508</v>
      </c>
      <c r="E343" t="str">
        <f t="shared" si="5"/>
        <v>City of Lagunitas-Forest Knolls</v>
      </c>
      <c r="F343">
        <v>1426</v>
      </c>
      <c r="G343" t="s">
        <v>3509</v>
      </c>
      <c r="H343">
        <v>1465</v>
      </c>
      <c r="I343">
        <v>0</v>
      </c>
      <c r="J343">
        <v>0</v>
      </c>
      <c r="K343">
        <v>1465</v>
      </c>
      <c r="L343">
        <v>599</v>
      </c>
      <c r="M343">
        <v>372</v>
      </c>
      <c r="N343">
        <v>227</v>
      </c>
      <c r="O343">
        <v>119400</v>
      </c>
      <c r="P343">
        <v>530</v>
      </c>
      <c r="Q343">
        <v>110</v>
      </c>
      <c r="R343">
        <v>0</v>
      </c>
      <c r="S343">
        <v>18</v>
      </c>
      <c r="T343" t="s">
        <v>3508</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3510</v>
      </c>
      <c r="B344">
        <v>1980</v>
      </c>
      <c r="C344" t="s">
        <v>173</v>
      </c>
      <c r="D344" t="s">
        <v>718</v>
      </c>
      <c r="E344" t="str">
        <f t="shared" si="5"/>
        <v>City of La Habra</v>
      </c>
      <c r="F344">
        <v>1428</v>
      </c>
      <c r="G344" t="s">
        <v>3511</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3512</v>
      </c>
      <c r="B345">
        <v>1980</v>
      </c>
      <c r="C345" t="s">
        <v>173</v>
      </c>
      <c r="D345" t="s">
        <v>3513</v>
      </c>
      <c r="E345" t="str">
        <f t="shared" si="5"/>
        <v>City of La Habra Heights</v>
      </c>
      <c r="F345">
        <v>1429</v>
      </c>
      <c r="G345" t="s">
        <v>3514</v>
      </c>
      <c r="H345">
        <v>4786</v>
      </c>
      <c r="I345">
        <v>4786</v>
      </c>
      <c r="J345">
        <v>0</v>
      </c>
      <c r="K345">
        <v>0</v>
      </c>
      <c r="L345">
        <v>1487</v>
      </c>
      <c r="M345">
        <v>1404</v>
      </c>
      <c r="N345">
        <v>83</v>
      </c>
      <c r="O345">
        <v>181800</v>
      </c>
      <c r="P345">
        <v>1484</v>
      </c>
      <c r="Q345">
        <v>74</v>
      </c>
      <c r="R345">
        <v>0</v>
      </c>
      <c r="S345">
        <v>2</v>
      </c>
      <c r="T345" t="s">
        <v>3513</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3515</v>
      </c>
      <c r="B346">
        <v>1980</v>
      </c>
      <c r="C346" t="s">
        <v>173</v>
      </c>
      <c r="D346" t="s">
        <v>3516</v>
      </c>
      <c r="E346" t="str">
        <f t="shared" si="5"/>
        <v>City of Lake Arrowhead</v>
      </c>
      <c r="F346">
        <v>1433</v>
      </c>
      <c r="G346" t="s">
        <v>3517</v>
      </c>
      <c r="H346">
        <v>6272</v>
      </c>
      <c r="I346">
        <v>0</v>
      </c>
      <c r="J346">
        <v>6272</v>
      </c>
      <c r="K346">
        <v>0</v>
      </c>
      <c r="L346">
        <v>2220</v>
      </c>
      <c r="M346">
        <v>1633</v>
      </c>
      <c r="N346">
        <v>587</v>
      </c>
      <c r="O346">
        <v>117900</v>
      </c>
      <c r="P346">
        <v>6103</v>
      </c>
      <c r="Q346">
        <v>260</v>
      </c>
      <c r="R346">
        <v>157</v>
      </c>
      <c r="S346">
        <v>131</v>
      </c>
      <c r="T346" t="s">
        <v>3516</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3518</v>
      </c>
      <c r="B347">
        <v>1980</v>
      </c>
      <c r="C347" t="s">
        <v>173</v>
      </c>
      <c r="D347" t="s">
        <v>742</v>
      </c>
      <c r="E347" t="str">
        <f t="shared" si="5"/>
        <v>City of Lake Elsinore</v>
      </c>
      <c r="F347">
        <v>1434</v>
      </c>
      <c r="G347" t="s">
        <v>3519</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3520</v>
      </c>
      <c r="B348">
        <v>1980</v>
      </c>
      <c r="C348" t="s">
        <v>173</v>
      </c>
      <c r="D348" t="s">
        <v>3521</v>
      </c>
      <c r="E348" t="str">
        <f t="shared" si="5"/>
        <v>City of Lake Isabella</v>
      </c>
      <c r="F348">
        <v>1437</v>
      </c>
      <c r="G348" t="s">
        <v>3522</v>
      </c>
      <c r="H348">
        <v>3428</v>
      </c>
      <c r="I348">
        <v>0</v>
      </c>
      <c r="J348">
        <v>3428</v>
      </c>
      <c r="K348">
        <v>0</v>
      </c>
      <c r="L348">
        <v>1593</v>
      </c>
      <c r="M348">
        <v>1268</v>
      </c>
      <c r="N348">
        <v>325</v>
      </c>
      <c r="O348">
        <v>41800</v>
      </c>
      <c r="P348">
        <v>1240</v>
      </c>
      <c r="Q348">
        <v>84</v>
      </c>
      <c r="R348">
        <v>26</v>
      </c>
      <c r="S348">
        <v>657</v>
      </c>
      <c r="T348" t="s">
        <v>3521</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3523</v>
      </c>
      <c r="B349">
        <v>1980</v>
      </c>
      <c r="C349" t="s">
        <v>173</v>
      </c>
      <c r="D349" t="s">
        <v>3524</v>
      </c>
      <c r="E349" t="str">
        <f t="shared" si="5"/>
        <v>City of Lakeland Village</v>
      </c>
      <c r="F349">
        <v>1440</v>
      </c>
      <c r="G349" t="s">
        <v>3525</v>
      </c>
      <c r="H349">
        <v>2796</v>
      </c>
      <c r="I349">
        <v>0</v>
      </c>
      <c r="J349">
        <v>2796</v>
      </c>
      <c r="K349">
        <v>0</v>
      </c>
      <c r="L349">
        <v>1169</v>
      </c>
      <c r="M349">
        <v>764</v>
      </c>
      <c r="N349">
        <v>405</v>
      </c>
      <c r="O349">
        <v>52400</v>
      </c>
      <c r="P349">
        <v>1173</v>
      </c>
      <c r="Q349">
        <v>230</v>
      </c>
      <c r="R349">
        <v>14</v>
      </c>
      <c r="S349">
        <v>237</v>
      </c>
      <c r="T349" t="s">
        <v>3524</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3526</v>
      </c>
      <c r="B350">
        <v>1980</v>
      </c>
      <c r="C350" t="s">
        <v>173</v>
      </c>
      <c r="D350" t="s">
        <v>746</v>
      </c>
      <c r="E350" t="str">
        <f t="shared" si="5"/>
        <v>City of Lakeport</v>
      </c>
      <c r="F350">
        <v>1445</v>
      </c>
      <c r="G350" t="s">
        <v>3527</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3528</v>
      </c>
      <c r="B351">
        <v>1980</v>
      </c>
      <c r="C351" t="s">
        <v>173</v>
      </c>
      <c r="D351" t="s">
        <v>3529</v>
      </c>
      <c r="E351" t="str">
        <f t="shared" si="5"/>
        <v>City of Lakeside</v>
      </c>
      <c r="F351">
        <v>1450</v>
      </c>
      <c r="G351" t="s">
        <v>3530</v>
      </c>
      <c r="H351">
        <v>23921</v>
      </c>
      <c r="I351">
        <v>23921</v>
      </c>
      <c r="J351">
        <v>0</v>
      </c>
      <c r="K351">
        <v>0</v>
      </c>
      <c r="L351">
        <v>8495</v>
      </c>
      <c r="M351">
        <v>6557</v>
      </c>
      <c r="N351">
        <v>1938</v>
      </c>
      <c r="O351">
        <v>89300</v>
      </c>
      <c r="P351">
        <v>5895</v>
      </c>
      <c r="Q351">
        <v>580</v>
      </c>
      <c r="R351">
        <v>601</v>
      </c>
      <c r="S351">
        <v>1955</v>
      </c>
      <c r="T351" t="s">
        <v>3529</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3531</v>
      </c>
      <c r="B352">
        <v>1980</v>
      </c>
      <c r="C352" t="s">
        <v>173</v>
      </c>
      <c r="D352" t="s">
        <v>748</v>
      </c>
      <c r="E352" t="str">
        <f t="shared" si="5"/>
        <v>City of Lakewood</v>
      </c>
      <c r="F352">
        <v>1455</v>
      </c>
      <c r="G352" t="s">
        <v>3532</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3533</v>
      </c>
      <c r="B353">
        <v>1980</v>
      </c>
      <c r="C353" t="s">
        <v>173</v>
      </c>
      <c r="D353" t="s">
        <v>720</v>
      </c>
      <c r="E353" t="str">
        <f t="shared" si="5"/>
        <v>City of La Mesa</v>
      </c>
      <c r="F353">
        <v>1460</v>
      </c>
      <c r="G353" t="s">
        <v>3534</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3535</v>
      </c>
      <c r="B354">
        <v>1980</v>
      </c>
      <c r="C354" t="s">
        <v>173</v>
      </c>
      <c r="D354" t="s">
        <v>722</v>
      </c>
      <c r="E354" t="str">
        <f t="shared" si="5"/>
        <v>City of La Mirada</v>
      </c>
      <c r="F354">
        <v>1462</v>
      </c>
      <c r="G354" t="s">
        <v>3536</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3537</v>
      </c>
      <c r="B355">
        <v>1980</v>
      </c>
      <c r="C355" t="s">
        <v>173</v>
      </c>
      <c r="D355" t="s">
        <v>3538</v>
      </c>
      <c r="E355" t="str">
        <f t="shared" si="5"/>
        <v>City of Lamont</v>
      </c>
      <c r="F355">
        <v>1470</v>
      </c>
      <c r="G355" t="s">
        <v>3539</v>
      </c>
      <c r="H355">
        <v>9616</v>
      </c>
      <c r="I355">
        <v>0</v>
      </c>
      <c r="J355">
        <v>9616</v>
      </c>
      <c r="K355">
        <v>0</v>
      </c>
      <c r="L355">
        <v>2830</v>
      </c>
      <c r="M355">
        <v>1617</v>
      </c>
      <c r="N355">
        <v>1213</v>
      </c>
      <c r="O355">
        <v>35500</v>
      </c>
      <c r="P355">
        <v>2211</v>
      </c>
      <c r="Q355">
        <v>496</v>
      </c>
      <c r="R355">
        <v>98</v>
      </c>
      <c r="S355">
        <v>179</v>
      </c>
      <c r="T355" t="s">
        <v>3538</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3540</v>
      </c>
      <c r="B356">
        <v>1980</v>
      </c>
      <c r="C356" t="s">
        <v>173</v>
      </c>
      <c r="D356" t="s">
        <v>750</v>
      </c>
      <c r="E356" t="str">
        <f t="shared" si="5"/>
        <v>City of Lancaster</v>
      </c>
      <c r="F356">
        <v>1476</v>
      </c>
      <c r="G356" t="s">
        <v>3541</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3542</v>
      </c>
      <c r="B357">
        <v>1980</v>
      </c>
      <c r="C357" t="s">
        <v>173</v>
      </c>
      <c r="D357" t="s">
        <v>724</v>
      </c>
      <c r="E357" t="str">
        <f t="shared" si="5"/>
        <v>City of La Palma</v>
      </c>
      <c r="F357">
        <v>1477</v>
      </c>
      <c r="G357" t="s">
        <v>3543</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3544</v>
      </c>
      <c r="B358">
        <v>1980</v>
      </c>
      <c r="C358" t="s">
        <v>173</v>
      </c>
      <c r="D358" t="s">
        <v>726</v>
      </c>
      <c r="E358" t="str">
        <f t="shared" si="5"/>
        <v>City of La Puente</v>
      </c>
      <c r="F358">
        <v>1480</v>
      </c>
      <c r="G358" t="s">
        <v>3545</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3546</v>
      </c>
      <c r="B359">
        <v>1980</v>
      </c>
      <c r="C359" t="s">
        <v>173</v>
      </c>
      <c r="D359" t="s">
        <v>728</v>
      </c>
      <c r="E359" t="str">
        <f t="shared" si="5"/>
        <v>City of La Quinta</v>
      </c>
      <c r="F359">
        <v>1482</v>
      </c>
      <c r="G359" t="s">
        <v>3547</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3548</v>
      </c>
      <c r="B360">
        <v>1980</v>
      </c>
      <c r="C360" t="s">
        <v>173</v>
      </c>
      <c r="D360" t="s">
        <v>3549</v>
      </c>
      <c r="E360" t="str">
        <f t="shared" si="5"/>
        <v>City of La Riviera</v>
      </c>
      <c r="F360">
        <v>1483</v>
      </c>
      <c r="G360" t="s">
        <v>3550</v>
      </c>
      <c r="H360">
        <v>10906</v>
      </c>
      <c r="I360">
        <v>10906</v>
      </c>
      <c r="J360">
        <v>0</v>
      </c>
      <c r="K360">
        <v>0</v>
      </c>
      <c r="L360">
        <v>4095</v>
      </c>
      <c r="M360">
        <v>2600</v>
      </c>
      <c r="N360">
        <v>1495</v>
      </c>
      <c r="O360">
        <v>71100</v>
      </c>
      <c r="P360">
        <v>3203</v>
      </c>
      <c r="Q360">
        <v>501</v>
      </c>
      <c r="R360">
        <v>545</v>
      </c>
      <c r="S360">
        <v>5</v>
      </c>
      <c r="T360" t="s">
        <v>3549</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3551</v>
      </c>
      <c r="B361">
        <v>1980</v>
      </c>
      <c r="C361" t="s">
        <v>173</v>
      </c>
      <c r="D361" t="s">
        <v>752</v>
      </c>
      <c r="E361" t="str">
        <f t="shared" si="5"/>
        <v>City of Larkspur</v>
      </c>
      <c r="F361">
        <v>1485</v>
      </c>
      <c r="G361" t="s">
        <v>3552</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3553</v>
      </c>
      <c r="B362">
        <v>1980</v>
      </c>
      <c r="C362" t="s">
        <v>173</v>
      </c>
      <c r="D362" t="s">
        <v>3554</v>
      </c>
      <c r="E362" t="str">
        <f t="shared" si="5"/>
        <v>City of La Selva Beach</v>
      </c>
      <c r="F362">
        <v>1488</v>
      </c>
      <c r="G362" t="s">
        <v>3555</v>
      </c>
      <c r="H362">
        <v>1603</v>
      </c>
      <c r="I362">
        <v>1603</v>
      </c>
      <c r="J362">
        <v>0</v>
      </c>
      <c r="K362">
        <v>0</v>
      </c>
      <c r="L362">
        <v>628</v>
      </c>
      <c r="M362">
        <v>428</v>
      </c>
      <c r="N362">
        <v>200</v>
      </c>
      <c r="O362">
        <v>111600</v>
      </c>
      <c r="P362">
        <v>646</v>
      </c>
      <c r="Q362">
        <v>70</v>
      </c>
      <c r="R362">
        <v>16</v>
      </c>
      <c r="S362">
        <v>1</v>
      </c>
      <c r="T362" t="s">
        <v>3554</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3556</v>
      </c>
      <c r="B363">
        <v>1980</v>
      </c>
      <c r="C363" t="s">
        <v>173</v>
      </c>
      <c r="D363" t="s">
        <v>3557</v>
      </c>
      <c r="E363" t="str">
        <f t="shared" si="5"/>
        <v>City of Las Lomas</v>
      </c>
      <c r="F363">
        <v>1489</v>
      </c>
      <c r="G363" t="s">
        <v>3558</v>
      </c>
      <c r="H363">
        <v>1740</v>
      </c>
      <c r="I363">
        <v>0</v>
      </c>
      <c r="J363">
        <v>0</v>
      </c>
      <c r="K363">
        <v>1740</v>
      </c>
      <c r="L363">
        <v>421</v>
      </c>
      <c r="M363">
        <v>291</v>
      </c>
      <c r="N363">
        <v>130</v>
      </c>
      <c r="O363">
        <v>62400</v>
      </c>
      <c r="P363">
        <v>331</v>
      </c>
      <c r="Q363">
        <v>91</v>
      </c>
      <c r="R363">
        <v>3</v>
      </c>
      <c r="S363">
        <v>31</v>
      </c>
      <c r="T363" t="s">
        <v>3557</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3559</v>
      </c>
      <c r="B364">
        <v>1980</v>
      </c>
      <c r="C364" t="s">
        <v>173</v>
      </c>
      <c r="D364" t="s">
        <v>754</v>
      </c>
      <c r="E364" t="str">
        <f t="shared" si="5"/>
        <v>City of Lathrop</v>
      </c>
      <c r="F364">
        <v>1490</v>
      </c>
      <c r="G364" t="s">
        <v>3560</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3561</v>
      </c>
      <c r="B365">
        <v>1980</v>
      </c>
      <c r="C365" t="s">
        <v>173</v>
      </c>
      <c r="D365" t="s">
        <v>3562</v>
      </c>
      <c r="E365" t="str">
        <f t="shared" si="5"/>
        <v>City of Laton</v>
      </c>
      <c r="F365">
        <v>1495</v>
      </c>
      <c r="G365" t="s">
        <v>3563</v>
      </c>
      <c r="H365">
        <v>1100</v>
      </c>
      <c r="I365">
        <v>0</v>
      </c>
      <c r="J365">
        <v>0</v>
      </c>
      <c r="K365">
        <v>1100</v>
      </c>
      <c r="L365">
        <v>344</v>
      </c>
      <c r="M365">
        <v>202</v>
      </c>
      <c r="N365">
        <v>142</v>
      </c>
      <c r="O365">
        <v>34100</v>
      </c>
      <c r="P365">
        <v>326</v>
      </c>
      <c r="Q365">
        <v>20</v>
      </c>
      <c r="R365">
        <v>2</v>
      </c>
      <c r="S365">
        <v>8</v>
      </c>
      <c r="T365" t="s">
        <v>3562</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3564</v>
      </c>
      <c r="B366">
        <v>1980</v>
      </c>
      <c r="C366" t="s">
        <v>173</v>
      </c>
      <c r="D366" t="s">
        <v>730</v>
      </c>
      <c r="E366" t="str">
        <f t="shared" si="5"/>
        <v>City of La Verne</v>
      </c>
      <c r="F366">
        <v>1500</v>
      </c>
      <c r="G366" t="s">
        <v>3565</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3566</v>
      </c>
      <c r="B367">
        <v>1980</v>
      </c>
      <c r="C367" t="s">
        <v>173</v>
      </c>
      <c r="D367" t="s">
        <v>756</v>
      </c>
      <c r="E367" t="str">
        <f t="shared" si="5"/>
        <v>City of Lawndale</v>
      </c>
      <c r="F367">
        <v>1505</v>
      </c>
      <c r="G367" t="s">
        <v>3567</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3568</v>
      </c>
      <c r="B368">
        <v>1980</v>
      </c>
      <c r="C368" t="s">
        <v>173</v>
      </c>
      <c r="D368" t="s">
        <v>3569</v>
      </c>
      <c r="E368" t="str">
        <f t="shared" si="5"/>
        <v>City of Laytonville</v>
      </c>
      <c r="F368">
        <v>1507</v>
      </c>
      <c r="G368" t="s">
        <v>3570</v>
      </c>
      <c r="H368">
        <v>1096</v>
      </c>
      <c r="I368">
        <v>0</v>
      </c>
      <c r="J368">
        <v>0</v>
      </c>
      <c r="K368">
        <v>1096</v>
      </c>
      <c r="L368">
        <v>389</v>
      </c>
      <c r="M368">
        <v>250</v>
      </c>
      <c r="N368">
        <v>139</v>
      </c>
      <c r="O368">
        <v>42500</v>
      </c>
      <c r="P368">
        <v>249</v>
      </c>
      <c r="Q368">
        <v>87</v>
      </c>
      <c r="R368">
        <v>4</v>
      </c>
      <c r="S368">
        <v>97</v>
      </c>
      <c r="T368" t="s">
        <v>3569</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3571</v>
      </c>
      <c r="B369">
        <v>1980</v>
      </c>
      <c r="C369" t="s">
        <v>173</v>
      </c>
      <c r="D369" t="s">
        <v>758</v>
      </c>
      <c r="E369" t="str">
        <f t="shared" si="5"/>
        <v>City of Lemon Grove</v>
      </c>
      <c r="F369">
        <v>1510</v>
      </c>
      <c r="G369" t="s">
        <v>3572</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3573</v>
      </c>
      <c r="B370">
        <v>1980</v>
      </c>
      <c r="C370" t="s">
        <v>173</v>
      </c>
      <c r="D370" t="s">
        <v>760</v>
      </c>
      <c r="E370" t="str">
        <f t="shared" si="5"/>
        <v>City of Lemoore</v>
      </c>
      <c r="F370">
        <v>1515</v>
      </c>
      <c r="G370" t="s">
        <v>3574</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3575</v>
      </c>
      <c r="B371">
        <v>1980</v>
      </c>
      <c r="C371" t="s">
        <v>173</v>
      </c>
      <c r="D371" t="s">
        <v>3576</v>
      </c>
      <c r="E371" t="str">
        <f t="shared" si="5"/>
        <v>City of Lemoore Station</v>
      </c>
      <c r="F371">
        <v>1517</v>
      </c>
      <c r="G371" t="s">
        <v>3577</v>
      </c>
      <c r="H371">
        <v>5888</v>
      </c>
      <c r="I371">
        <v>0</v>
      </c>
      <c r="J371">
        <v>5888</v>
      </c>
      <c r="K371">
        <v>0</v>
      </c>
      <c r="L371">
        <v>1221</v>
      </c>
      <c r="M371">
        <v>8</v>
      </c>
      <c r="N371">
        <v>1213</v>
      </c>
      <c r="O371">
        <v>37500</v>
      </c>
      <c r="P371">
        <v>1529</v>
      </c>
      <c r="Q371">
        <v>73</v>
      </c>
      <c r="R371">
        <v>6</v>
      </c>
      <c r="S371">
        <v>0</v>
      </c>
      <c r="T371" t="s">
        <v>3576</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3578</v>
      </c>
      <c r="B372">
        <v>1980</v>
      </c>
      <c r="C372" t="s">
        <v>173</v>
      </c>
      <c r="D372" t="s">
        <v>3579</v>
      </c>
      <c r="E372" t="str">
        <f t="shared" si="5"/>
        <v>City of Lennox</v>
      </c>
      <c r="F372">
        <v>1520</v>
      </c>
      <c r="G372" t="s">
        <v>3580</v>
      </c>
      <c r="H372">
        <v>18445</v>
      </c>
      <c r="I372">
        <v>18445</v>
      </c>
      <c r="J372">
        <v>0</v>
      </c>
      <c r="K372">
        <v>0</v>
      </c>
      <c r="L372">
        <v>5477</v>
      </c>
      <c r="M372">
        <v>1798</v>
      </c>
      <c r="N372">
        <v>3679</v>
      </c>
      <c r="O372">
        <v>64300</v>
      </c>
      <c r="P372">
        <v>3720</v>
      </c>
      <c r="Q372">
        <v>1254</v>
      </c>
      <c r="R372">
        <v>669</v>
      </c>
      <c r="S372">
        <v>67</v>
      </c>
      <c r="T372" t="s">
        <v>3579</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3581</v>
      </c>
      <c r="B373">
        <v>1980</v>
      </c>
      <c r="C373" t="s">
        <v>173</v>
      </c>
      <c r="D373" t="s">
        <v>3582</v>
      </c>
      <c r="E373" t="str">
        <f t="shared" si="5"/>
        <v>City of Lenwood</v>
      </c>
      <c r="F373">
        <v>1525</v>
      </c>
      <c r="G373" t="s">
        <v>3583</v>
      </c>
      <c r="H373">
        <v>2974</v>
      </c>
      <c r="I373">
        <v>0</v>
      </c>
      <c r="J373">
        <v>2974</v>
      </c>
      <c r="K373">
        <v>0</v>
      </c>
      <c r="L373">
        <v>930</v>
      </c>
      <c r="M373">
        <v>703</v>
      </c>
      <c r="N373">
        <v>227</v>
      </c>
      <c r="O373">
        <v>42200</v>
      </c>
      <c r="P373">
        <v>872</v>
      </c>
      <c r="Q373">
        <v>103</v>
      </c>
      <c r="R373">
        <v>1</v>
      </c>
      <c r="S373">
        <v>4</v>
      </c>
      <c r="T373" t="s">
        <v>3582</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3584</v>
      </c>
      <c r="B374">
        <v>1980</v>
      </c>
      <c r="C374" t="s">
        <v>173</v>
      </c>
      <c r="D374" t="s">
        <v>3585</v>
      </c>
      <c r="E374" t="str">
        <f t="shared" si="5"/>
        <v>City of Leucadia</v>
      </c>
      <c r="F374">
        <v>1529</v>
      </c>
      <c r="G374" t="s">
        <v>3586</v>
      </c>
      <c r="H374">
        <v>9478</v>
      </c>
      <c r="I374">
        <v>9478</v>
      </c>
      <c r="J374">
        <v>0</v>
      </c>
      <c r="K374">
        <v>0</v>
      </c>
      <c r="L374">
        <v>3815</v>
      </c>
      <c r="M374">
        <v>2236</v>
      </c>
      <c r="N374">
        <v>1579</v>
      </c>
      <c r="O374">
        <v>136300</v>
      </c>
      <c r="P374">
        <v>2855</v>
      </c>
      <c r="Q374">
        <v>501</v>
      </c>
      <c r="R374">
        <v>279</v>
      </c>
      <c r="S374">
        <v>599</v>
      </c>
      <c r="T374" t="s">
        <v>3585</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3587</v>
      </c>
      <c r="B375">
        <v>1980</v>
      </c>
      <c r="C375" t="s">
        <v>173</v>
      </c>
      <c r="D375" t="s">
        <v>762</v>
      </c>
      <c r="E375" t="str">
        <f t="shared" si="5"/>
        <v>City of Lincoln</v>
      </c>
      <c r="F375">
        <v>1535</v>
      </c>
      <c r="G375" t="s">
        <v>3588</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3589</v>
      </c>
      <c r="B376">
        <v>1980</v>
      </c>
      <c r="C376" t="s">
        <v>173</v>
      </c>
      <c r="D376" t="s">
        <v>3590</v>
      </c>
      <c r="E376" t="str">
        <f t="shared" si="5"/>
        <v>City of Lincoln Village</v>
      </c>
      <c r="F376">
        <v>1537</v>
      </c>
      <c r="G376" t="s">
        <v>3591</v>
      </c>
      <c r="H376">
        <v>6476</v>
      </c>
      <c r="I376">
        <v>6476</v>
      </c>
      <c r="J376">
        <v>0</v>
      </c>
      <c r="K376">
        <v>0</v>
      </c>
      <c r="L376">
        <v>2274</v>
      </c>
      <c r="M376">
        <v>1895</v>
      </c>
      <c r="N376">
        <v>379</v>
      </c>
      <c r="O376">
        <v>63800</v>
      </c>
      <c r="P376">
        <v>2292</v>
      </c>
      <c r="Q376">
        <v>35</v>
      </c>
      <c r="R376">
        <v>11</v>
      </c>
      <c r="S376">
        <v>2</v>
      </c>
      <c r="T376" t="s">
        <v>3590</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3592</v>
      </c>
      <c r="B377">
        <v>1980</v>
      </c>
      <c r="C377" t="s">
        <v>173</v>
      </c>
      <c r="D377" t="s">
        <v>3593</v>
      </c>
      <c r="E377" t="str">
        <f t="shared" si="5"/>
        <v>City of Linda</v>
      </c>
      <c r="F377">
        <v>1540</v>
      </c>
      <c r="G377" t="s">
        <v>3594</v>
      </c>
      <c r="H377">
        <v>10225</v>
      </c>
      <c r="I377">
        <v>10225</v>
      </c>
      <c r="J377">
        <v>0</v>
      </c>
      <c r="K377">
        <v>0</v>
      </c>
      <c r="L377">
        <v>3649</v>
      </c>
      <c r="M377">
        <v>1722</v>
      </c>
      <c r="N377">
        <v>1927</v>
      </c>
      <c r="O377">
        <v>42000</v>
      </c>
      <c r="P377">
        <v>2253</v>
      </c>
      <c r="Q377">
        <v>888</v>
      </c>
      <c r="R377">
        <v>460</v>
      </c>
      <c r="S377">
        <v>409</v>
      </c>
      <c r="T377" t="s">
        <v>3593</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3595</v>
      </c>
      <c r="B378">
        <v>1980</v>
      </c>
      <c r="C378" t="s">
        <v>173</v>
      </c>
      <c r="D378" t="s">
        <v>764</v>
      </c>
      <c r="E378" t="str">
        <f t="shared" si="5"/>
        <v>City of Lindsay</v>
      </c>
      <c r="F378">
        <v>1550</v>
      </c>
      <c r="G378" t="s">
        <v>3596</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3597</v>
      </c>
      <c r="B379">
        <v>1980</v>
      </c>
      <c r="C379" t="s">
        <v>173</v>
      </c>
      <c r="D379" t="s">
        <v>766</v>
      </c>
      <c r="E379" t="str">
        <f t="shared" si="5"/>
        <v>City of Live Oak</v>
      </c>
      <c r="F379">
        <v>1561</v>
      </c>
      <c r="G379" t="s">
        <v>3598</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3599</v>
      </c>
      <c r="B380">
        <v>1980</v>
      </c>
      <c r="C380" t="s">
        <v>173</v>
      </c>
      <c r="D380" t="s">
        <v>766</v>
      </c>
      <c r="E380" t="str">
        <f t="shared" si="5"/>
        <v>City of Live Oak</v>
      </c>
      <c r="F380">
        <v>1566</v>
      </c>
      <c r="G380" t="s">
        <v>3600</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3601</v>
      </c>
      <c r="B381">
        <v>1980</v>
      </c>
      <c r="C381" t="s">
        <v>173</v>
      </c>
      <c r="D381" t="s">
        <v>768</v>
      </c>
      <c r="E381" t="str">
        <f t="shared" si="5"/>
        <v>City of Livermore</v>
      </c>
      <c r="F381">
        <v>1570</v>
      </c>
      <c r="G381" t="s">
        <v>3602</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3603</v>
      </c>
      <c r="B382">
        <v>1980</v>
      </c>
      <c r="C382" t="s">
        <v>173</v>
      </c>
      <c r="D382" t="s">
        <v>770</v>
      </c>
      <c r="E382" t="str">
        <f t="shared" si="5"/>
        <v>City of Livingston</v>
      </c>
      <c r="F382">
        <v>1575</v>
      </c>
      <c r="G382" t="s">
        <v>3604</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3605</v>
      </c>
      <c r="B383">
        <v>1980</v>
      </c>
      <c r="C383" t="s">
        <v>173</v>
      </c>
      <c r="D383" t="s">
        <v>3606</v>
      </c>
      <c r="E383" t="str">
        <f t="shared" si="5"/>
        <v>City of Lockeford</v>
      </c>
      <c r="F383">
        <v>1581</v>
      </c>
      <c r="G383" t="s">
        <v>3607</v>
      </c>
      <c r="H383">
        <v>1852</v>
      </c>
      <c r="I383">
        <v>0</v>
      </c>
      <c r="J383">
        <v>0</v>
      </c>
      <c r="K383">
        <v>1852</v>
      </c>
      <c r="L383">
        <v>658</v>
      </c>
      <c r="M383">
        <v>498</v>
      </c>
      <c r="N383">
        <v>160</v>
      </c>
      <c r="O383">
        <v>49100</v>
      </c>
      <c r="P383">
        <v>452</v>
      </c>
      <c r="Q383">
        <v>49</v>
      </c>
      <c r="R383">
        <v>43</v>
      </c>
      <c r="S383">
        <v>135</v>
      </c>
      <c r="T383" t="s">
        <v>3606</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3608</v>
      </c>
      <c r="B384">
        <v>1980</v>
      </c>
      <c r="C384" t="s">
        <v>173</v>
      </c>
      <c r="D384" t="s">
        <v>772</v>
      </c>
      <c r="E384" t="str">
        <f t="shared" si="5"/>
        <v>City of Lodi</v>
      </c>
      <c r="F384">
        <v>1585</v>
      </c>
      <c r="G384" t="s">
        <v>3609</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3610</v>
      </c>
      <c r="B385">
        <v>1980</v>
      </c>
      <c r="C385" t="s">
        <v>173</v>
      </c>
      <c r="D385" t="s">
        <v>774</v>
      </c>
      <c r="E385" t="str">
        <f t="shared" si="5"/>
        <v>City of Loma Linda</v>
      </c>
      <c r="F385">
        <v>1588</v>
      </c>
      <c r="G385" t="s">
        <v>3611</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3612</v>
      </c>
      <c r="B386">
        <v>1980</v>
      </c>
      <c r="C386" t="s">
        <v>173</v>
      </c>
      <c r="D386" t="s">
        <v>776</v>
      </c>
      <c r="E386" t="str">
        <f t="shared" si="5"/>
        <v>City of Lomita</v>
      </c>
      <c r="F386">
        <v>1590</v>
      </c>
      <c r="G386" t="s">
        <v>3613</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3614</v>
      </c>
      <c r="B387">
        <v>1980</v>
      </c>
      <c r="C387" t="s">
        <v>173</v>
      </c>
      <c r="D387" t="s">
        <v>778</v>
      </c>
      <c r="E387" t="str">
        <f t="shared" si="5"/>
        <v>City of Lompoc</v>
      </c>
      <c r="F387">
        <v>1600</v>
      </c>
      <c r="G387" t="s">
        <v>3615</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3616</v>
      </c>
      <c r="B388">
        <v>1980</v>
      </c>
      <c r="C388" t="s">
        <v>173</v>
      </c>
      <c r="D388" t="s">
        <v>3617</v>
      </c>
      <c r="E388" t="str">
        <f t="shared" si="5"/>
        <v>City of London</v>
      </c>
      <c r="F388">
        <v>1604</v>
      </c>
      <c r="G388" t="s">
        <v>3618</v>
      </c>
      <c r="H388">
        <v>1257</v>
      </c>
      <c r="I388">
        <v>0</v>
      </c>
      <c r="J388">
        <v>0</v>
      </c>
      <c r="K388">
        <v>1257</v>
      </c>
      <c r="L388">
        <v>329</v>
      </c>
      <c r="M388">
        <v>185</v>
      </c>
      <c r="N388">
        <v>144</v>
      </c>
      <c r="O388">
        <v>25000</v>
      </c>
      <c r="P388">
        <v>201</v>
      </c>
      <c r="Q388">
        <v>42</v>
      </c>
      <c r="R388">
        <v>2</v>
      </c>
      <c r="S388">
        <v>98</v>
      </c>
      <c r="T388" t="s">
        <v>3617</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3619</v>
      </c>
      <c r="B389">
        <v>1980</v>
      </c>
      <c r="C389" t="s">
        <v>173</v>
      </c>
      <c r="D389" t="s">
        <v>3620</v>
      </c>
      <c r="E389" t="str">
        <f t="shared" ref="E389:E452" si="6">_xlfn.CONCAT("City of ",D389)</f>
        <v>City of Lone Pine</v>
      </c>
      <c r="F389">
        <v>1605</v>
      </c>
      <c r="G389" t="s">
        <v>3621</v>
      </c>
      <c r="H389">
        <v>1684</v>
      </c>
      <c r="I389">
        <v>0</v>
      </c>
      <c r="J389">
        <v>0</v>
      </c>
      <c r="K389">
        <v>1684</v>
      </c>
      <c r="L389">
        <v>714</v>
      </c>
      <c r="M389">
        <v>411</v>
      </c>
      <c r="N389">
        <v>303</v>
      </c>
      <c r="O389">
        <v>55700</v>
      </c>
      <c r="P389">
        <v>499</v>
      </c>
      <c r="Q389">
        <v>90</v>
      </c>
      <c r="R389">
        <v>23</v>
      </c>
      <c r="S389">
        <v>163</v>
      </c>
      <c r="T389" t="s">
        <v>3620</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3622</v>
      </c>
      <c r="B390">
        <v>1980</v>
      </c>
      <c r="C390" t="s">
        <v>173</v>
      </c>
      <c r="D390" t="s">
        <v>780</v>
      </c>
      <c r="E390" t="str">
        <f t="shared" si="6"/>
        <v>City of Long Beach</v>
      </c>
      <c r="F390">
        <v>1610</v>
      </c>
      <c r="G390" t="s">
        <v>3623</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3624</v>
      </c>
      <c r="B391">
        <v>1980</v>
      </c>
      <c r="C391" t="s">
        <v>173</v>
      </c>
      <c r="D391" t="s">
        <v>782</v>
      </c>
      <c r="E391" t="str">
        <f t="shared" si="6"/>
        <v>City of Loomis</v>
      </c>
      <c r="F391">
        <v>1612</v>
      </c>
      <c r="G391" t="s">
        <v>3625</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3626</v>
      </c>
      <c r="B392">
        <v>1980</v>
      </c>
      <c r="C392" t="s">
        <v>173</v>
      </c>
      <c r="D392" t="s">
        <v>784</v>
      </c>
      <c r="E392" t="str">
        <f t="shared" si="6"/>
        <v>City of Los Alamitos</v>
      </c>
      <c r="F392">
        <v>1615</v>
      </c>
      <c r="G392" t="s">
        <v>3627</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3628</v>
      </c>
      <c r="B393">
        <v>1980</v>
      </c>
      <c r="C393" t="s">
        <v>173</v>
      </c>
      <c r="D393" t="s">
        <v>786</v>
      </c>
      <c r="E393" t="str">
        <f t="shared" si="6"/>
        <v>City of Los Altos</v>
      </c>
      <c r="F393">
        <v>1620</v>
      </c>
      <c r="G393" t="s">
        <v>3629</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3630</v>
      </c>
      <c r="B394">
        <v>1980</v>
      </c>
      <c r="C394" t="s">
        <v>173</v>
      </c>
      <c r="D394" t="s">
        <v>788</v>
      </c>
      <c r="E394" t="str">
        <f t="shared" si="6"/>
        <v>City of Los Altos Hills</v>
      </c>
      <c r="F394">
        <v>1625</v>
      </c>
      <c r="G394" t="s">
        <v>3631</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3632</v>
      </c>
      <c r="B395">
        <v>1980</v>
      </c>
      <c r="C395" t="s">
        <v>173</v>
      </c>
      <c r="D395" t="s">
        <v>790</v>
      </c>
      <c r="E395" t="str">
        <f t="shared" si="6"/>
        <v>City of Los Angeles</v>
      </c>
      <c r="F395">
        <v>1630</v>
      </c>
      <c r="G395" t="s">
        <v>3633</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3634</v>
      </c>
      <c r="B396">
        <v>1980</v>
      </c>
      <c r="C396" t="s">
        <v>173</v>
      </c>
      <c r="D396" t="s">
        <v>792</v>
      </c>
      <c r="E396" t="str">
        <f t="shared" si="6"/>
        <v>City of Los Banos</v>
      </c>
      <c r="F396">
        <v>1635</v>
      </c>
      <c r="G396" t="s">
        <v>3635</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3636</v>
      </c>
      <c r="B397">
        <v>1980</v>
      </c>
      <c r="C397" t="s">
        <v>173</v>
      </c>
      <c r="D397" t="s">
        <v>794</v>
      </c>
      <c r="E397" t="str">
        <f t="shared" si="6"/>
        <v>City of Los Gatos</v>
      </c>
      <c r="F397">
        <v>1640</v>
      </c>
      <c r="G397" t="s">
        <v>3637</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3638</v>
      </c>
      <c r="B398">
        <v>1980</v>
      </c>
      <c r="C398" t="s">
        <v>173</v>
      </c>
      <c r="D398" t="s">
        <v>3639</v>
      </c>
      <c r="E398" t="str">
        <f t="shared" si="6"/>
        <v>City of Los Molinos</v>
      </c>
      <c r="F398">
        <v>1642</v>
      </c>
      <c r="G398" t="s">
        <v>3640</v>
      </c>
      <c r="H398">
        <v>1241</v>
      </c>
      <c r="I398">
        <v>0</v>
      </c>
      <c r="J398">
        <v>0</v>
      </c>
      <c r="K398">
        <v>1241</v>
      </c>
      <c r="L398">
        <v>515</v>
      </c>
      <c r="M398">
        <v>372</v>
      </c>
      <c r="N398">
        <v>143</v>
      </c>
      <c r="O398">
        <v>37900</v>
      </c>
      <c r="P398">
        <v>292</v>
      </c>
      <c r="Q398">
        <v>92</v>
      </c>
      <c r="R398">
        <v>6</v>
      </c>
      <c r="S398">
        <v>169</v>
      </c>
      <c r="T398" t="s">
        <v>3639</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3641</v>
      </c>
      <c r="B399">
        <v>1980</v>
      </c>
      <c r="C399" t="s">
        <v>173</v>
      </c>
      <c r="D399" t="s">
        <v>3642</v>
      </c>
      <c r="E399" t="str">
        <f t="shared" si="6"/>
        <v>City of Lower Lake</v>
      </c>
      <c r="F399">
        <v>1650</v>
      </c>
      <c r="G399" t="s">
        <v>3643</v>
      </c>
      <c r="H399">
        <v>1043</v>
      </c>
      <c r="I399">
        <v>0</v>
      </c>
      <c r="J399">
        <v>0</v>
      </c>
      <c r="K399">
        <v>1043</v>
      </c>
      <c r="L399">
        <v>447</v>
      </c>
      <c r="M399">
        <v>362</v>
      </c>
      <c r="N399">
        <v>85</v>
      </c>
      <c r="O399">
        <v>52800</v>
      </c>
      <c r="P399">
        <v>171</v>
      </c>
      <c r="Q399">
        <v>30</v>
      </c>
      <c r="R399">
        <v>3</v>
      </c>
      <c r="S399">
        <v>261</v>
      </c>
      <c r="T399" t="s">
        <v>3642</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3644</v>
      </c>
      <c r="B400">
        <v>1980</v>
      </c>
      <c r="C400" t="s">
        <v>173</v>
      </c>
      <c r="D400" t="s">
        <v>796</v>
      </c>
      <c r="E400" t="str">
        <f t="shared" si="6"/>
        <v>City of Loyalton</v>
      </c>
      <c r="F400">
        <v>1652</v>
      </c>
      <c r="G400" t="s">
        <v>3645</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3646</v>
      </c>
      <c r="B401">
        <v>1980</v>
      </c>
      <c r="C401" t="s">
        <v>173</v>
      </c>
      <c r="D401" t="s">
        <v>3647</v>
      </c>
      <c r="E401" t="str">
        <f t="shared" si="6"/>
        <v>City of Lucas Valley-Marinwood</v>
      </c>
      <c r="F401">
        <v>1656</v>
      </c>
      <c r="G401" t="s">
        <v>3648</v>
      </c>
      <c r="H401">
        <v>6409</v>
      </c>
      <c r="I401">
        <v>6409</v>
      </c>
      <c r="J401">
        <v>0</v>
      </c>
      <c r="K401">
        <v>0</v>
      </c>
      <c r="L401">
        <v>2085</v>
      </c>
      <c r="M401">
        <v>1751</v>
      </c>
      <c r="N401">
        <v>334</v>
      </c>
      <c r="O401">
        <v>142500</v>
      </c>
      <c r="P401">
        <v>2091</v>
      </c>
      <c r="Q401">
        <v>11</v>
      </c>
      <c r="R401">
        <v>4</v>
      </c>
      <c r="S401">
        <v>1</v>
      </c>
      <c r="T401" t="s">
        <v>3647</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3649</v>
      </c>
      <c r="B402">
        <v>1980</v>
      </c>
      <c r="C402" t="s">
        <v>173</v>
      </c>
      <c r="D402" t="s">
        <v>3650</v>
      </c>
      <c r="E402" t="str">
        <f t="shared" si="6"/>
        <v>City of Lucerne</v>
      </c>
      <c r="F402">
        <v>1657</v>
      </c>
      <c r="G402" t="s">
        <v>3651</v>
      </c>
      <c r="H402">
        <v>1767</v>
      </c>
      <c r="I402">
        <v>0</v>
      </c>
      <c r="J402">
        <v>0</v>
      </c>
      <c r="K402">
        <v>1767</v>
      </c>
      <c r="L402">
        <v>837</v>
      </c>
      <c r="M402">
        <v>653</v>
      </c>
      <c r="N402">
        <v>184</v>
      </c>
      <c r="O402">
        <v>41800</v>
      </c>
      <c r="P402">
        <v>697</v>
      </c>
      <c r="Q402">
        <v>74</v>
      </c>
      <c r="R402">
        <v>5</v>
      </c>
      <c r="S402">
        <v>390</v>
      </c>
      <c r="T402" t="s">
        <v>3650</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3652</v>
      </c>
      <c r="B403">
        <v>1980</v>
      </c>
      <c r="C403" t="s">
        <v>173</v>
      </c>
      <c r="D403" t="s">
        <v>798</v>
      </c>
      <c r="E403" t="str">
        <f t="shared" si="6"/>
        <v>City of Lynwood</v>
      </c>
      <c r="F403">
        <v>1660</v>
      </c>
      <c r="G403" t="s">
        <v>3653</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3654</v>
      </c>
      <c r="B404">
        <v>1980</v>
      </c>
      <c r="C404" t="s">
        <v>173</v>
      </c>
      <c r="D404" t="s">
        <v>3655</v>
      </c>
      <c r="E404" t="str">
        <f t="shared" si="6"/>
        <v>City of Mccloud</v>
      </c>
      <c r="F404">
        <v>1665</v>
      </c>
      <c r="G404" t="s">
        <v>3656</v>
      </c>
      <c r="H404">
        <v>1656</v>
      </c>
      <c r="I404">
        <v>0</v>
      </c>
      <c r="J404">
        <v>0</v>
      </c>
      <c r="K404">
        <v>1656</v>
      </c>
      <c r="L404">
        <v>615</v>
      </c>
      <c r="M404">
        <v>447</v>
      </c>
      <c r="N404">
        <v>168</v>
      </c>
      <c r="O404">
        <v>45200</v>
      </c>
      <c r="P404">
        <v>555</v>
      </c>
      <c r="Q404">
        <v>63</v>
      </c>
      <c r="R404">
        <v>19</v>
      </c>
      <c r="S404">
        <v>37</v>
      </c>
      <c r="T404" t="s">
        <v>3655</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3657</v>
      </c>
      <c r="B405">
        <v>1980</v>
      </c>
      <c r="C405" t="s">
        <v>173</v>
      </c>
      <c r="D405" t="s">
        <v>3658</v>
      </c>
      <c r="E405" t="str">
        <f t="shared" si="6"/>
        <v>City of Mcfarland</v>
      </c>
      <c r="F405">
        <v>1670</v>
      </c>
      <c r="G405" t="s">
        <v>3659</v>
      </c>
      <c r="H405">
        <v>5151</v>
      </c>
      <c r="I405">
        <v>0</v>
      </c>
      <c r="J405">
        <v>5151</v>
      </c>
      <c r="K405">
        <v>0</v>
      </c>
      <c r="L405">
        <v>1399</v>
      </c>
      <c r="M405">
        <v>906</v>
      </c>
      <c r="N405">
        <v>493</v>
      </c>
      <c r="O405">
        <v>41400</v>
      </c>
      <c r="P405">
        <v>1290</v>
      </c>
      <c r="Q405">
        <v>163</v>
      </c>
      <c r="R405">
        <v>6</v>
      </c>
      <c r="S405">
        <v>5</v>
      </c>
      <c r="T405" t="s">
        <v>3658</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3660</v>
      </c>
      <c r="B406">
        <v>1980</v>
      </c>
      <c r="C406" t="s">
        <v>173</v>
      </c>
      <c r="D406" t="s">
        <v>3661</v>
      </c>
      <c r="E406" t="str">
        <f t="shared" si="6"/>
        <v>City of Mckinleyville</v>
      </c>
      <c r="F406">
        <v>1674</v>
      </c>
      <c r="G406" t="s">
        <v>3662</v>
      </c>
      <c r="H406">
        <v>7772</v>
      </c>
      <c r="I406">
        <v>0</v>
      </c>
      <c r="J406">
        <v>7772</v>
      </c>
      <c r="K406">
        <v>0</v>
      </c>
      <c r="L406">
        <v>2761</v>
      </c>
      <c r="M406">
        <v>1823</v>
      </c>
      <c r="N406">
        <v>938</v>
      </c>
      <c r="O406">
        <v>56000</v>
      </c>
      <c r="P406">
        <v>2225</v>
      </c>
      <c r="Q406">
        <v>228</v>
      </c>
      <c r="R406">
        <v>21</v>
      </c>
      <c r="S406">
        <v>465</v>
      </c>
      <c r="T406" t="s">
        <v>3661</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3663</v>
      </c>
      <c r="B407">
        <v>1980</v>
      </c>
      <c r="C407" t="s">
        <v>173</v>
      </c>
      <c r="D407" t="s">
        <v>800</v>
      </c>
      <c r="E407" t="str">
        <f t="shared" si="6"/>
        <v>City of Madera</v>
      </c>
      <c r="F407">
        <v>1680</v>
      </c>
      <c r="G407" t="s">
        <v>3664</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3665</v>
      </c>
      <c r="B408">
        <v>1980</v>
      </c>
      <c r="C408" t="s">
        <v>173</v>
      </c>
      <c r="D408" t="s">
        <v>3666</v>
      </c>
      <c r="E408" t="str">
        <f t="shared" si="6"/>
        <v>City of Madera Acres</v>
      </c>
      <c r="F408">
        <v>1681</v>
      </c>
      <c r="G408" t="s">
        <v>3667</v>
      </c>
      <c r="H408">
        <v>2173</v>
      </c>
      <c r="I408">
        <v>0</v>
      </c>
      <c r="J408">
        <v>0</v>
      </c>
      <c r="K408">
        <v>2173</v>
      </c>
      <c r="L408">
        <v>616</v>
      </c>
      <c r="M408">
        <v>548</v>
      </c>
      <c r="N408">
        <v>68</v>
      </c>
      <c r="O408">
        <v>68900</v>
      </c>
      <c r="P408">
        <v>708</v>
      </c>
      <c r="Q408">
        <v>13</v>
      </c>
      <c r="R408">
        <v>0</v>
      </c>
      <c r="S408">
        <v>11</v>
      </c>
      <c r="T408" t="s">
        <v>3666</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3668</v>
      </c>
      <c r="B409">
        <v>1980</v>
      </c>
      <c r="C409" t="s">
        <v>173</v>
      </c>
      <c r="D409" t="s">
        <v>804</v>
      </c>
      <c r="E409" t="str">
        <f t="shared" si="6"/>
        <v>City of Mammoth Lakes</v>
      </c>
      <c r="F409">
        <v>1687</v>
      </c>
      <c r="G409" t="s">
        <v>3669</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3670</v>
      </c>
      <c r="B410">
        <v>1980</v>
      </c>
      <c r="C410" t="s">
        <v>173</v>
      </c>
      <c r="D410" t="s">
        <v>806</v>
      </c>
      <c r="E410" t="str">
        <f t="shared" si="6"/>
        <v>City of Manhattan Beach</v>
      </c>
      <c r="F410">
        <v>1690</v>
      </c>
      <c r="G410" t="s">
        <v>3671</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3672</v>
      </c>
      <c r="B411">
        <v>1980</v>
      </c>
      <c r="C411" t="s">
        <v>173</v>
      </c>
      <c r="D411" t="s">
        <v>808</v>
      </c>
      <c r="E411" t="str">
        <f t="shared" si="6"/>
        <v>City of Manteca</v>
      </c>
      <c r="F411">
        <v>1695</v>
      </c>
      <c r="G411" t="s">
        <v>3673</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3674</v>
      </c>
      <c r="B412">
        <v>1980</v>
      </c>
      <c r="C412" t="s">
        <v>173</v>
      </c>
      <c r="D412" t="s">
        <v>3675</v>
      </c>
      <c r="E412" t="str">
        <f t="shared" si="6"/>
        <v>City of March AFB</v>
      </c>
      <c r="F412">
        <v>1697</v>
      </c>
      <c r="G412" t="s">
        <v>3676</v>
      </c>
      <c r="H412">
        <v>3607</v>
      </c>
      <c r="I412">
        <v>0</v>
      </c>
      <c r="J412">
        <v>3607</v>
      </c>
      <c r="K412">
        <v>0</v>
      </c>
      <c r="L412">
        <v>693</v>
      </c>
      <c r="M412">
        <v>2</v>
      </c>
      <c r="N412">
        <v>691</v>
      </c>
      <c r="O412">
        <v>0</v>
      </c>
      <c r="P412">
        <v>689</v>
      </c>
      <c r="Q412">
        <v>19</v>
      </c>
      <c r="R412">
        <v>2</v>
      </c>
      <c r="S412">
        <v>0</v>
      </c>
      <c r="T412" t="s">
        <v>3675</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3677</v>
      </c>
      <c r="B413">
        <v>1980</v>
      </c>
      <c r="C413" t="s">
        <v>173</v>
      </c>
      <c r="D413" t="s">
        <v>3678</v>
      </c>
      <c r="E413" t="str">
        <f t="shared" si="6"/>
        <v>City of Maricopa</v>
      </c>
      <c r="F413">
        <v>1700</v>
      </c>
      <c r="G413" t="s">
        <v>3679</v>
      </c>
      <c r="H413">
        <v>946</v>
      </c>
      <c r="I413">
        <v>0</v>
      </c>
      <c r="J413">
        <v>0</v>
      </c>
      <c r="K413">
        <v>946</v>
      </c>
      <c r="L413">
        <v>338</v>
      </c>
      <c r="M413">
        <v>247</v>
      </c>
      <c r="N413">
        <v>91</v>
      </c>
      <c r="O413">
        <v>30300</v>
      </c>
      <c r="P413">
        <v>288</v>
      </c>
      <c r="Q413">
        <v>16</v>
      </c>
      <c r="R413">
        <v>0</v>
      </c>
      <c r="S413">
        <v>56</v>
      </c>
      <c r="T413" t="s">
        <v>3678</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3680</v>
      </c>
      <c r="B414">
        <v>1980</v>
      </c>
      <c r="C414" t="s">
        <v>173</v>
      </c>
      <c r="D414" t="s">
        <v>810</v>
      </c>
      <c r="E414" t="str">
        <f t="shared" si="6"/>
        <v>City of Marina</v>
      </c>
      <c r="F414">
        <v>1705</v>
      </c>
      <c r="G414" t="s">
        <v>3681</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3682</v>
      </c>
      <c r="B415">
        <v>1980</v>
      </c>
      <c r="C415" t="s">
        <v>173</v>
      </c>
      <c r="D415" t="s">
        <v>3683</v>
      </c>
      <c r="E415" t="str">
        <f t="shared" si="6"/>
        <v>City of Marina Del Rey</v>
      </c>
      <c r="F415">
        <v>1706</v>
      </c>
      <c r="G415" t="s">
        <v>3684</v>
      </c>
      <c r="H415">
        <v>8065</v>
      </c>
      <c r="I415">
        <v>8065</v>
      </c>
      <c r="J415">
        <v>0</v>
      </c>
      <c r="K415">
        <v>0</v>
      </c>
      <c r="L415">
        <v>5620</v>
      </c>
      <c r="M415">
        <v>214</v>
      </c>
      <c r="N415">
        <v>5406</v>
      </c>
      <c r="O415">
        <v>50000</v>
      </c>
      <c r="P415">
        <v>1504</v>
      </c>
      <c r="Q415">
        <v>157</v>
      </c>
      <c r="R415">
        <v>4351</v>
      </c>
      <c r="S415">
        <v>38</v>
      </c>
      <c r="T415" t="s">
        <v>3683</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3685</v>
      </c>
      <c r="B416">
        <v>1980</v>
      </c>
      <c r="C416" t="s">
        <v>173</v>
      </c>
      <c r="D416" t="s">
        <v>1274</v>
      </c>
      <c r="E416" t="str">
        <f t="shared" si="6"/>
        <v>City of Mariposa</v>
      </c>
      <c r="F416">
        <v>1708</v>
      </c>
      <c r="G416" t="s">
        <v>3686</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3687</v>
      </c>
      <c r="B417">
        <v>1980</v>
      </c>
      <c r="C417" t="s">
        <v>173</v>
      </c>
      <c r="D417" t="s">
        <v>812</v>
      </c>
      <c r="E417" t="str">
        <f t="shared" si="6"/>
        <v>City of Martinez</v>
      </c>
      <c r="F417">
        <v>1710</v>
      </c>
      <c r="G417" t="s">
        <v>3688</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3689</v>
      </c>
      <c r="B418">
        <v>1980</v>
      </c>
      <c r="C418" t="s">
        <v>173</v>
      </c>
      <c r="D418" t="s">
        <v>814</v>
      </c>
      <c r="E418" t="str">
        <f t="shared" si="6"/>
        <v>City of Marysville</v>
      </c>
      <c r="F418">
        <v>1720</v>
      </c>
      <c r="G418" t="s">
        <v>3690</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3691</v>
      </c>
      <c r="B419">
        <v>1980</v>
      </c>
      <c r="C419" t="s">
        <v>173</v>
      </c>
      <c r="D419" t="s">
        <v>3692</v>
      </c>
      <c r="E419" t="str">
        <f t="shared" si="6"/>
        <v>City of Mather AFB</v>
      </c>
      <c r="F419">
        <v>1722</v>
      </c>
      <c r="G419" t="s">
        <v>3693</v>
      </c>
      <c r="H419">
        <v>5245</v>
      </c>
      <c r="I419">
        <v>5245</v>
      </c>
      <c r="J419">
        <v>0</v>
      </c>
      <c r="K419">
        <v>0</v>
      </c>
      <c r="L419">
        <v>1160</v>
      </c>
      <c r="M419">
        <v>8</v>
      </c>
      <c r="N419">
        <v>1152</v>
      </c>
      <c r="O419">
        <v>65000</v>
      </c>
      <c r="P419">
        <v>1238</v>
      </c>
      <c r="Q419">
        <v>38</v>
      </c>
      <c r="R419">
        <v>4</v>
      </c>
      <c r="S419">
        <v>2</v>
      </c>
      <c r="T419" t="s">
        <v>3692</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3694</v>
      </c>
      <c r="B420">
        <v>1980</v>
      </c>
      <c r="C420" t="s">
        <v>173</v>
      </c>
      <c r="D420" t="s">
        <v>3695</v>
      </c>
      <c r="E420" t="str">
        <f t="shared" si="6"/>
        <v>City of Mayflower Village</v>
      </c>
      <c r="F420">
        <v>1727</v>
      </c>
      <c r="G420" t="s">
        <v>3696</v>
      </c>
      <c r="H420">
        <v>5017</v>
      </c>
      <c r="I420">
        <v>5017</v>
      </c>
      <c r="J420">
        <v>0</v>
      </c>
      <c r="K420">
        <v>0</v>
      </c>
      <c r="L420">
        <v>1940</v>
      </c>
      <c r="M420">
        <v>1682</v>
      </c>
      <c r="N420">
        <v>258</v>
      </c>
      <c r="O420">
        <v>71900</v>
      </c>
      <c r="P420">
        <v>1619</v>
      </c>
      <c r="Q420">
        <v>40</v>
      </c>
      <c r="R420">
        <v>30</v>
      </c>
      <c r="S420">
        <v>303</v>
      </c>
      <c r="T420" t="s">
        <v>3695</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3697</v>
      </c>
      <c r="B421">
        <v>1980</v>
      </c>
      <c r="C421" t="s">
        <v>173</v>
      </c>
      <c r="D421" t="s">
        <v>816</v>
      </c>
      <c r="E421" t="str">
        <f t="shared" si="6"/>
        <v>City of Maywood</v>
      </c>
      <c r="F421">
        <v>1730</v>
      </c>
      <c r="G421" t="s">
        <v>3698</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3699</v>
      </c>
      <c r="B422">
        <v>1980</v>
      </c>
      <c r="C422" t="s">
        <v>173</v>
      </c>
      <c r="D422" t="s">
        <v>3700</v>
      </c>
      <c r="E422" t="str">
        <f t="shared" si="6"/>
        <v>City of Meadow Vista</v>
      </c>
      <c r="F422">
        <v>1734</v>
      </c>
      <c r="G422" t="s">
        <v>3701</v>
      </c>
      <c r="H422">
        <v>2683</v>
      </c>
      <c r="I422">
        <v>0</v>
      </c>
      <c r="J422">
        <v>2683</v>
      </c>
      <c r="K422">
        <v>0</v>
      </c>
      <c r="L422">
        <v>895</v>
      </c>
      <c r="M422">
        <v>778</v>
      </c>
      <c r="N422">
        <v>117</v>
      </c>
      <c r="O422">
        <v>83200</v>
      </c>
      <c r="P422">
        <v>867</v>
      </c>
      <c r="Q422">
        <v>20</v>
      </c>
      <c r="R422">
        <v>0</v>
      </c>
      <c r="S422">
        <v>33</v>
      </c>
      <c r="T422" t="s">
        <v>3700</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3702</v>
      </c>
      <c r="B423">
        <v>1980</v>
      </c>
      <c r="C423" t="s">
        <v>173</v>
      </c>
      <c r="D423" t="s">
        <v>3703</v>
      </c>
      <c r="E423" t="str">
        <f t="shared" si="6"/>
        <v>City of Mecca</v>
      </c>
      <c r="F423">
        <v>1735</v>
      </c>
      <c r="G423" t="s">
        <v>3704</v>
      </c>
      <c r="H423">
        <v>1698</v>
      </c>
      <c r="I423">
        <v>0</v>
      </c>
      <c r="J423">
        <v>0</v>
      </c>
      <c r="K423">
        <v>1698</v>
      </c>
      <c r="L423">
        <v>357</v>
      </c>
      <c r="M423">
        <v>188</v>
      </c>
      <c r="N423">
        <v>169</v>
      </c>
      <c r="O423">
        <v>38600</v>
      </c>
      <c r="P423">
        <v>208</v>
      </c>
      <c r="Q423">
        <v>92</v>
      </c>
      <c r="R423">
        <v>32</v>
      </c>
      <c r="S423">
        <v>38</v>
      </c>
      <c r="T423" t="s">
        <v>3703</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3705</v>
      </c>
      <c r="B424">
        <v>1980</v>
      </c>
      <c r="C424" t="s">
        <v>173</v>
      </c>
      <c r="D424" t="s">
        <v>3706</v>
      </c>
      <c r="E424" t="str">
        <f t="shared" si="6"/>
        <v>City of Meiners Oaks-Mira Monte</v>
      </c>
      <c r="F424">
        <v>1736</v>
      </c>
      <c r="G424" t="s">
        <v>3707</v>
      </c>
      <c r="H424">
        <v>9512</v>
      </c>
      <c r="I424">
        <v>0</v>
      </c>
      <c r="J424">
        <v>9512</v>
      </c>
      <c r="K424">
        <v>0</v>
      </c>
      <c r="L424">
        <v>3568</v>
      </c>
      <c r="M424">
        <v>2786</v>
      </c>
      <c r="N424">
        <v>782</v>
      </c>
      <c r="O424">
        <v>91200</v>
      </c>
      <c r="P424">
        <v>2727</v>
      </c>
      <c r="Q424">
        <v>225</v>
      </c>
      <c r="R424">
        <v>53</v>
      </c>
      <c r="S424">
        <v>719</v>
      </c>
      <c r="T424" t="s">
        <v>3706</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3708</v>
      </c>
      <c r="B425">
        <v>1980</v>
      </c>
      <c r="C425" t="s">
        <v>173</v>
      </c>
      <c r="D425" t="s">
        <v>1275</v>
      </c>
      <c r="E425" t="str">
        <f t="shared" si="6"/>
        <v>City of Mendocino</v>
      </c>
      <c r="F425">
        <v>1737</v>
      </c>
      <c r="G425" t="s">
        <v>3709</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3710</v>
      </c>
      <c r="B426">
        <v>1980</v>
      </c>
      <c r="C426" t="s">
        <v>173</v>
      </c>
      <c r="D426" t="s">
        <v>820</v>
      </c>
      <c r="E426" t="str">
        <f t="shared" si="6"/>
        <v>City of Mendota</v>
      </c>
      <c r="F426">
        <v>1740</v>
      </c>
      <c r="G426" t="s">
        <v>3711</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3712</v>
      </c>
      <c r="B427">
        <v>1980</v>
      </c>
      <c r="C427" t="s">
        <v>173</v>
      </c>
      <c r="D427" t="s">
        <v>824</v>
      </c>
      <c r="E427" t="str">
        <f t="shared" si="6"/>
        <v>City of Menlo Park</v>
      </c>
      <c r="F427">
        <v>1745</v>
      </c>
      <c r="G427" t="s">
        <v>3713</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3714</v>
      </c>
      <c r="B428">
        <v>1980</v>
      </c>
      <c r="C428" t="s">
        <v>173</v>
      </c>
      <c r="D428" t="s">
        <v>826</v>
      </c>
      <c r="E428" t="str">
        <f t="shared" si="6"/>
        <v>City of Merced</v>
      </c>
      <c r="F428">
        <v>1750</v>
      </c>
      <c r="G428" t="s">
        <v>3715</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3716</v>
      </c>
      <c r="B429">
        <v>1980</v>
      </c>
      <c r="C429" t="s">
        <v>173</v>
      </c>
      <c r="D429" t="s">
        <v>830</v>
      </c>
      <c r="E429" t="str">
        <f t="shared" si="6"/>
        <v>City of Millbrae</v>
      </c>
      <c r="F429">
        <v>1760</v>
      </c>
      <c r="G429" t="s">
        <v>3717</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3718</v>
      </c>
      <c r="B430">
        <v>1980</v>
      </c>
      <c r="C430" t="s">
        <v>173</v>
      </c>
      <c r="D430" t="s">
        <v>828</v>
      </c>
      <c r="E430" t="str">
        <f t="shared" si="6"/>
        <v>City of Mill Valley</v>
      </c>
      <c r="F430">
        <v>1765</v>
      </c>
      <c r="G430" t="s">
        <v>3719</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3720</v>
      </c>
      <c r="B431">
        <v>1980</v>
      </c>
      <c r="C431" t="s">
        <v>173</v>
      </c>
      <c r="D431" t="s">
        <v>832</v>
      </c>
      <c r="E431" t="str">
        <f t="shared" si="6"/>
        <v>City of Milpitas</v>
      </c>
      <c r="F431">
        <v>1770</v>
      </c>
      <c r="G431" t="s">
        <v>3721</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3722</v>
      </c>
      <c r="B432">
        <v>1980</v>
      </c>
      <c r="C432" t="s">
        <v>173</v>
      </c>
      <c r="D432" t="s">
        <v>3723</v>
      </c>
      <c r="E432" t="str">
        <f t="shared" si="6"/>
        <v>City of Mira Loma</v>
      </c>
      <c r="F432">
        <v>1780</v>
      </c>
      <c r="G432" t="s">
        <v>3724</v>
      </c>
      <c r="H432">
        <v>8707</v>
      </c>
      <c r="I432">
        <v>8707</v>
      </c>
      <c r="J432">
        <v>0</v>
      </c>
      <c r="K432">
        <v>0</v>
      </c>
      <c r="L432">
        <v>2538</v>
      </c>
      <c r="M432">
        <v>2025</v>
      </c>
      <c r="N432">
        <v>513</v>
      </c>
      <c r="O432">
        <v>77700</v>
      </c>
      <c r="P432">
        <v>2528</v>
      </c>
      <c r="Q432">
        <v>90</v>
      </c>
      <c r="R432">
        <v>6</v>
      </c>
      <c r="S432">
        <v>37</v>
      </c>
      <c r="T432" t="s">
        <v>3723</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3725</v>
      </c>
      <c r="B433">
        <v>1980</v>
      </c>
      <c r="C433" t="s">
        <v>173</v>
      </c>
      <c r="D433" t="s">
        <v>3726</v>
      </c>
      <c r="E433" t="str">
        <f t="shared" si="6"/>
        <v>City of Mission Hills</v>
      </c>
      <c r="F433">
        <v>1784</v>
      </c>
      <c r="G433" t="s">
        <v>3727</v>
      </c>
      <c r="H433">
        <v>2797</v>
      </c>
      <c r="I433">
        <v>0</v>
      </c>
      <c r="J433">
        <v>2797</v>
      </c>
      <c r="K433">
        <v>0</v>
      </c>
      <c r="L433">
        <v>817</v>
      </c>
      <c r="M433">
        <v>647</v>
      </c>
      <c r="N433">
        <v>170</v>
      </c>
      <c r="O433">
        <v>64400</v>
      </c>
      <c r="P433">
        <v>807</v>
      </c>
      <c r="Q433">
        <v>21</v>
      </c>
      <c r="R433">
        <v>0</v>
      </c>
      <c r="S433">
        <v>1</v>
      </c>
      <c r="T433" t="s">
        <v>3726</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3728</v>
      </c>
      <c r="B434">
        <v>1980</v>
      </c>
      <c r="C434" t="s">
        <v>173</v>
      </c>
      <c r="D434" t="s">
        <v>834</v>
      </c>
      <c r="E434" t="str">
        <f t="shared" si="6"/>
        <v>City of Mission Viejo</v>
      </c>
      <c r="F434">
        <v>1786</v>
      </c>
      <c r="G434" t="s">
        <v>3729</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3730</v>
      </c>
      <c r="B435">
        <v>1980</v>
      </c>
      <c r="C435" t="s">
        <v>173</v>
      </c>
      <c r="D435" t="s">
        <v>836</v>
      </c>
      <c r="E435" t="str">
        <f t="shared" si="6"/>
        <v>City of Modesto</v>
      </c>
      <c r="F435">
        <v>1790</v>
      </c>
      <c r="G435" t="s">
        <v>3731</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3732</v>
      </c>
      <c r="B436">
        <v>1980</v>
      </c>
      <c r="C436" t="s">
        <v>173</v>
      </c>
      <c r="D436" t="s">
        <v>3733</v>
      </c>
      <c r="E436" t="str">
        <f t="shared" si="6"/>
        <v>City of Mojave</v>
      </c>
      <c r="F436">
        <v>1795</v>
      </c>
      <c r="G436" t="s">
        <v>3734</v>
      </c>
      <c r="H436">
        <v>2886</v>
      </c>
      <c r="I436">
        <v>0</v>
      </c>
      <c r="J436">
        <v>2886</v>
      </c>
      <c r="K436">
        <v>0</v>
      </c>
      <c r="L436">
        <v>1098</v>
      </c>
      <c r="M436">
        <v>640</v>
      </c>
      <c r="N436">
        <v>458</v>
      </c>
      <c r="O436">
        <v>41500</v>
      </c>
      <c r="P436">
        <v>842</v>
      </c>
      <c r="Q436">
        <v>154</v>
      </c>
      <c r="R436">
        <v>165</v>
      </c>
      <c r="S436">
        <v>92</v>
      </c>
      <c r="T436" t="s">
        <v>3733</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3735</v>
      </c>
      <c r="B437">
        <v>1980</v>
      </c>
      <c r="C437" t="s">
        <v>173</v>
      </c>
      <c r="D437" t="s">
        <v>3736</v>
      </c>
      <c r="E437" t="str">
        <f t="shared" si="6"/>
        <v>City of Mono Vista</v>
      </c>
      <c r="F437">
        <v>1799</v>
      </c>
      <c r="G437" t="s">
        <v>3737</v>
      </c>
      <c r="H437">
        <v>1154</v>
      </c>
      <c r="I437">
        <v>0</v>
      </c>
      <c r="J437">
        <v>0</v>
      </c>
      <c r="K437">
        <v>1154</v>
      </c>
      <c r="L437">
        <v>428</v>
      </c>
      <c r="M437">
        <v>327</v>
      </c>
      <c r="N437">
        <v>101</v>
      </c>
      <c r="O437">
        <v>64900</v>
      </c>
      <c r="P437">
        <v>455</v>
      </c>
      <c r="Q437">
        <v>26</v>
      </c>
      <c r="R437">
        <v>4</v>
      </c>
      <c r="S437">
        <v>64</v>
      </c>
      <c r="T437" t="s">
        <v>3736</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3738</v>
      </c>
      <c r="B438">
        <v>1980</v>
      </c>
      <c r="C438" t="s">
        <v>173</v>
      </c>
      <c r="D438" t="s">
        <v>838</v>
      </c>
      <c r="E438" t="str">
        <f t="shared" si="6"/>
        <v>City of Monrovia</v>
      </c>
      <c r="F438">
        <v>1800</v>
      </c>
      <c r="G438" t="s">
        <v>3739</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3740</v>
      </c>
      <c r="B439">
        <v>1980</v>
      </c>
      <c r="C439" t="s">
        <v>173</v>
      </c>
      <c r="D439" t="s">
        <v>840</v>
      </c>
      <c r="E439" t="str">
        <f t="shared" si="6"/>
        <v>City of Montague</v>
      </c>
      <c r="F439">
        <v>1805</v>
      </c>
      <c r="G439" t="s">
        <v>3741</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3742</v>
      </c>
      <c r="B440">
        <v>1980</v>
      </c>
      <c r="C440" t="s">
        <v>173</v>
      </c>
      <c r="D440" t="s">
        <v>3743</v>
      </c>
      <c r="E440" t="str">
        <f t="shared" si="6"/>
        <v>City of Montara</v>
      </c>
      <c r="F440">
        <v>1813</v>
      </c>
      <c r="G440" t="s">
        <v>3744</v>
      </c>
      <c r="H440">
        <v>1972</v>
      </c>
      <c r="I440">
        <v>0</v>
      </c>
      <c r="J440">
        <v>0</v>
      </c>
      <c r="K440">
        <v>1972</v>
      </c>
      <c r="L440">
        <v>685</v>
      </c>
      <c r="M440">
        <v>571</v>
      </c>
      <c r="N440">
        <v>114</v>
      </c>
      <c r="O440">
        <v>119000</v>
      </c>
      <c r="P440">
        <v>670</v>
      </c>
      <c r="Q440">
        <v>40</v>
      </c>
      <c r="R440">
        <v>10</v>
      </c>
      <c r="S440">
        <v>1</v>
      </c>
      <c r="T440" t="s">
        <v>3743</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3745</v>
      </c>
      <c r="B441">
        <v>1980</v>
      </c>
      <c r="C441" t="s">
        <v>173</v>
      </c>
      <c r="D441" t="s">
        <v>842</v>
      </c>
      <c r="E441" t="str">
        <f t="shared" si="6"/>
        <v>City of Montclair</v>
      </c>
      <c r="F441">
        <v>1815</v>
      </c>
      <c r="G441" t="s">
        <v>3746</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3747</v>
      </c>
      <c r="B442">
        <v>1980</v>
      </c>
      <c r="C442" t="s">
        <v>173</v>
      </c>
      <c r="D442" t="s">
        <v>844</v>
      </c>
      <c r="E442" t="str">
        <f t="shared" si="6"/>
        <v>City of Montebello</v>
      </c>
      <c r="F442">
        <v>1820</v>
      </c>
      <c r="G442" t="s">
        <v>3748</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3749</v>
      </c>
      <c r="B443">
        <v>1980</v>
      </c>
      <c r="C443" t="s">
        <v>173</v>
      </c>
      <c r="D443" t="s">
        <v>846</v>
      </c>
      <c r="E443" t="str">
        <f t="shared" si="6"/>
        <v>City of Monterey</v>
      </c>
      <c r="F443">
        <v>1825</v>
      </c>
      <c r="G443" t="s">
        <v>3750</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3751</v>
      </c>
      <c r="B444">
        <v>1980</v>
      </c>
      <c r="C444" t="s">
        <v>173</v>
      </c>
      <c r="D444" t="s">
        <v>848</v>
      </c>
      <c r="E444" t="str">
        <f t="shared" si="6"/>
        <v>City of Monterey Park</v>
      </c>
      <c r="F444">
        <v>1830</v>
      </c>
      <c r="G444" t="s">
        <v>3752</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3753</v>
      </c>
      <c r="B445">
        <v>1980</v>
      </c>
      <c r="C445" t="s">
        <v>173</v>
      </c>
      <c r="D445" t="s">
        <v>3754</v>
      </c>
      <c r="E445" t="str">
        <f t="shared" si="6"/>
        <v>City of Monte Rio</v>
      </c>
      <c r="F445">
        <v>1832</v>
      </c>
      <c r="G445" t="s">
        <v>3755</v>
      </c>
      <c r="H445">
        <v>1137</v>
      </c>
      <c r="I445">
        <v>0</v>
      </c>
      <c r="J445">
        <v>0</v>
      </c>
      <c r="K445">
        <v>1137</v>
      </c>
      <c r="L445">
        <v>532</v>
      </c>
      <c r="M445">
        <v>285</v>
      </c>
      <c r="N445">
        <v>247</v>
      </c>
      <c r="O445">
        <v>59300</v>
      </c>
      <c r="P445">
        <v>619</v>
      </c>
      <c r="Q445">
        <v>211</v>
      </c>
      <c r="R445">
        <v>26</v>
      </c>
      <c r="S445">
        <v>9</v>
      </c>
      <c r="T445" t="s">
        <v>3754</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3756</v>
      </c>
      <c r="B446">
        <v>1980</v>
      </c>
      <c r="C446" t="s">
        <v>173</v>
      </c>
      <c r="D446" t="s">
        <v>3757</v>
      </c>
      <c r="E446" t="str">
        <f t="shared" si="6"/>
        <v>City of Monte Sereno</v>
      </c>
      <c r="F446">
        <v>1835</v>
      </c>
      <c r="G446" t="s">
        <v>3758</v>
      </c>
      <c r="H446">
        <v>3434</v>
      </c>
      <c r="I446">
        <v>3434</v>
      </c>
      <c r="J446">
        <v>0</v>
      </c>
      <c r="K446">
        <v>0</v>
      </c>
      <c r="L446">
        <v>1119</v>
      </c>
      <c r="M446">
        <v>1030</v>
      </c>
      <c r="N446">
        <v>89</v>
      </c>
      <c r="O446">
        <v>200100</v>
      </c>
      <c r="P446">
        <v>1126</v>
      </c>
      <c r="Q446">
        <v>23</v>
      </c>
      <c r="R446">
        <v>5</v>
      </c>
      <c r="S446">
        <v>1</v>
      </c>
      <c r="T446" t="s">
        <v>3757</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3759</v>
      </c>
      <c r="B447">
        <v>1980</v>
      </c>
      <c r="C447" t="s">
        <v>173</v>
      </c>
      <c r="D447" t="s">
        <v>850</v>
      </c>
      <c r="E447" t="str">
        <f t="shared" si="6"/>
        <v>City of Moorpark</v>
      </c>
      <c r="F447">
        <v>1840</v>
      </c>
      <c r="G447" t="s">
        <v>3760</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3761</v>
      </c>
      <c r="B448">
        <v>1980</v>
      </c>
      <c r="C448" t="s">
        <v>173</v>
      </c>
      <c r="D448" t="s">
        <v>3762</v>
      </c>
      <c r="E448" t="str">
        <f t="shared" si="6"/>
        <v>City of Moraga Town</v>
      </c>
      <c r="F448">
        <v>1847</v>
      </c>
      <c r="G448" t="s">
        <v>3763</v>
      </c>
      <c r="H448">
        <v>15014</v>
      </c>
      <c r="I448">
        <v>15014</v>
      </c>
      <c r="J448">
        <v>0</v>
      </c>
      <c r="K448">
        <v>0</v>
      </c>
      <c r="L448">
        <v>4873</v>
      </c>
      <c r="M448">
        <v>3903</v>
      </c>
      <c r="N448">
        <v>970</v>
      </c>
      <c r="O448">
        <v>176700</v>
      </c>
      <c r="P448">
        <v>4350</v>
      </c>
      <c r="Q448">
        <v>298</v>
      </c>
      <c r="R448">
        <v>335</v>
      </c>
      <c r="S448">
        <v>3</v>
      </c>
      <c r="T448" t="s">
        <v>3762</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3764</v>
      </c>
      <c r="B449">
        <v>1980</v>
      </c>
      <c r="C449" t="s">
        <v>173</v>
      </c>
      <c r="D449" t="s">
        <v>3765</v>
      </c>
      <c r="E449" t="str">
        <f t="shared" si="6"/>
        <v>City of Moreno</v>
      </c>
      <c r="F449">
        <v>1848</v>
      </c>
      <c r="G449" t="s">
        <v>3766</v>
      </c>
      <c r="H449">
        <v>1175</v>
      </c>
      <c r="I449">
        <v>0</v>
      </c>
      <c r="J449">
        <v>0</v>
      </c>
      <c r="K449">
        <v>1175</v>
      </c>
      <c r="L449">
        <v>350</v>
      </c>
      <c r="M449">
        <v>303</v>
      </c>
      <c r="N449">
        <v>47</v>
      </c>
      <c r="O449">
        <v>74300</v>
      </c>
      <c r="P449">
        <v>371</v>
      </c>
      <c r="Q449">
        <v>12</v>
      </c>
      <c r="R449">
        <v>0</v>
      </c>
      <c r="S449">
        <v>2</v>
      </c>
      <c r="T449" t="s">
        <v>3765</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3767</v>
      </c>
      <c r="B450">
        <v>1980</v>
      </c>
      <c r="C450" t="s">
        <v>173</v>
      </c>
      <c r="D450" t="s">
        <v>3768</v>
      </c>
      <c r="E450" t="str">
        <f t="shared" si="6"/>
        <v>City of Morgan Hill</v>
      </c>
      <c r="F450">
        <v>1850</v>
      </c>
      <c r="G450" t="s">
        <v>3769</v>
      </c>
      <c r="H450">
        <v>17060</v>
      </c>
      <c r="I450">
        <v>17060</v>
      </c>
      <c r="J450">
        <v>0</v>
      </c>
      <c r="K450">
        <v>0</v>
      </c>
      <c r="L450">
        <v>5232</v>
      </c>
      <c r="M450">
        <v>3685</v>
      </c>
      <c r="N450">
        <v>1547</v>
      </c>
      <c r="O450">
        <v>119600</v>
      </c>
      <c r="P450">
        <v>4128</v>
      </c>
      <c r="Q450">
        <v>667</v>
      </c>
      <c r="R450">
        <v>221</v>
      </c>
      <c r="S450">
        <v>550</v>
      </c>
      <c r="T450" t="s">
        <v>3768</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3770</v>
      </c>
      <c r="B451">
        <v>1980</v>
      </c>
      <c r="C451" t="s">
        <v>173</v>
      </c>
      <c r="D451" t="s">
        <v>3771</v>
      </c>
      <c r="E451" t="str">
        <f t="shared" si="6"/>
        <v>City of Morongo Valley</v>
      </c>
      <c r="F451">
        <v>1853</v>
      </c>
      <c r="G451" t="s">
        <v>3772</v>
      </c>
      <c r="H451">
        <v>1137</v>
      </c>
      <c r="I451">
        <v>0</v>
      </c>
      <c r="J451">
        <v>0</v>
      </c>
      <c r="K451">
        <v>1137</v>
      </c>
      <c r="L451">
        <v>485</v>
      </c>
      <c r="M451">
        <v>394</v>
      </c>
      <c r="N451">
        <v>91</v>
      </c>
      <c r="O451">
        <v>46800</v>
      </c>
      <c r="P451">
        <v>626</v>
      </c>
      <c r="Q451">
        <v>61</v>
      </c>
      <c r="R451">
        <v>1</v>
      </c>
      <c r="S451">
        <v>58</v>
      </c>
      <c r="T451" t="s">
        <v>3771</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3773</v>
      </c>
      <c r="B452">
        <v>1980</v>
      </c>
      <c r="C452" t="s">
        <v>173</v>
      </c>
      <c r="D452" t="s">
        <v>856</v>
      </c>
      <c r="E452" t="str">
        <f t="shared" si="6"/>
        <v>City of Morro Bay</v>
      </c>
      <c r="F452">
        <v>1855</v>
      </c>
      <c r="G452" t="s">
        <v>3774</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3775</v>
      </c>
      <c r="B453">
        <v>1980</v>
      </c>
      <c r="C453" t="s">
        <v>173</v>
      </c>
      <c r="D453" t="s">
        <v>3776</v>
      </c>
      <c r="E453" t="str">
        <f t="shared" ref="E453:E516" si="7">_xlfn.CONCAT("City of ",D453)</f>
        <v>City of Moss Beach</v>
      </c>
      <c r="F453">
        <v>1857</v>
      </c>
      <c r="G453" t="s">
        <v>3777</v>
      </c>
      <c r="H453">
        <v>1868</v>
      </c>
      <c r="I453">
        <v>0</v>
      </c>
      <c r="J453">
        <v>0</v>
      </c>
      <c r="K453">
        <v>1868</v>
      </c>
      <c r="L453">
        <v>643</v>
      </c>
      <c r="M453">
        <v>496</v>
      </c>
      <c r="N453">
        <v>147</v>
      </c>
      <c r="O453">
        <v>126800</v>
      </c>
      <c r="P453">
        <v>628</v>
      </c>
      <c r="Q453">
        <v>45</v>
      </c>
      <c r="R453">
        <v>1</v>
      </c>
      <c r="S453">
        <v>5</v>
      </c>
      <c r="T453" t="s">
        <v>3776</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3778</v>
      </c>
      <c r="B454">
        <v>1980</v>
      </c>
      <c r="C454" t="s">
        <v>173</v>
      </c>
      <c r="D454" t="s">
        <v>860</v>
      </c>
      <c r="E454" t="str">
        <f t="shared" si="7"/>
        <v>City of Mountain View</v>
      </c>
      <c r="F454">
        <v>1860</v>
      </c>
      <c r="G454" t="s">
        <v>3779</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3780</v>
      </c>
      <c r="B455">
        <v>1980</v>
      </c>
      <c r="C455" t="s">
        <v>173</v>
      </c>
      <c r="D455" t="s">
        <v>3781</v>
      </c>
      <c r="E455" t="str">
        <f t="shared" si="7"/>
        <v>City of Mountain View Acres</v>
      </c>
      <c r="F455">
        <v>1861</v>
      </c>
      <c r="G455" t="s">
        <v>3782</v>
      </c>
      <c r="H455">
        <v>1686</v>
      </c>
      <c r="I455">
        <v>0</v>
      </c>
      <c r="J455">
        <v>0</v>
      </c>
      <c r="K455">
        <v>1686</v>
      </c>
      <c r="L455">
        <v>559</v>
      </c>
      <c r="M455">
        <v>481</v>
      </c>
      <c r="N455">
        <v>78</v>
      </c>
      <c r="O455">
        <v>54400</v>
      </c>
      <c r="P455">
        <v>528</v>
      </c>
      <c r="Q455">
        <v>15</v>
      </c>
      <c r="R455">
        <v>0</v>
      </c>
      <c r="S455">
        <v>58</v>
      </c>
      <c r="T455" t="s">
        <v>3781</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3783</v>
      </c>
      <c r="B456">
        <v>1980</v>
      </c>
      <c r="C456" t="s">
        <v>173</v>
      </c>
      <c r="D456" t="s">
        <v>858</v>
      </c>
      <c r="E456" t="str">
        <f t="shared" si="7"/>
        <v>City of Mount Shasta</v>
      </c>
      <c r="F456">
        <v>1870</v>
      </c>
      <c r="G456" t="s">
        <v>3784</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3785</v>
      </c>
      <c r="B457">
        <v>1980</v>
      </c>
      <c r="C457" t="s">
        <v>173</v>
      </c>
      <c r="D457" t="s">
        <v>3786</v>
      </c>
      <c r="E457" t="str">
        <f t="shared" si="7"/>
        <v>City of Mulberry</v>
      </c>
      <c r="F457">
        <v>1875</v>
      </c>
      <c r="G457" t="s">
        <v>3787</v>
      </c>
      <c r="H457">
        <v>1946</v>
      </c>
      <c r="I457">
        <v>1946</v>
      </c>
      <c r="J457">
        <v>0</v>
      </c>
      <c r="K457">
        <v>0</v>
      </c>
      <c r="L457">
        <v>815</v>
      </c>
      <c r="M457">
        <v>394</v>
      </c>
      <c r="N457">
        <v>421</v>
      </c>
      <c r="O457">
        <v>36200</v>
      </c>
      <c r="P457">
        <v>721</v>
      </c>
      <c r="Q457">
        <v>83</v>
      </c>
      <c r="R457">
        <v>8</v>
      </c>
      <c r="S457">
        <v>50</v>
      </c>
      <c r="T457" t="s">
        <v>3786</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3788</v>
      </c>
      <c r="B458">
        <v>1980</v>
      </c>
      <c r="C458" t="s">
        <v>173</v>
      </c>
      <c r="D458" t="s">
        <v>3789</v>
      </c>
      <c r="E458" t="str">
        <f t="shared" si="7"/>
        <v>City of Murphys</v>
      </c>
      <c r="F458">
        <v>1876</v>
      </c>
      <c r="G458" t="s">
        <v>3790</v>
      </c>
      <c r="H458">
        <v>1183</v>
      </c>
      <c r="I458">
        <v>0</v>
      </c>
      <c r="J458">
        <v>0</v>
      </c>
      <c r="K458">
        <v>1183</v>
      </c>
      <c r="L458">
        <v>459</v>
      </c>
      <c r="M458">
        <v>339</v>
      </c>
      <c r="N458">
        <v>120</v>
      </c>
      <c r="O458">
        <v>72200</v>
      </c>
      <c r="P458">
        <v>405</v>
      </c>
      <c r="Q458">
        <v>44</v>
      </c>
      <c r="R458">
        <v>0</v>
      </c>
      <c r="S458">
        <v>81</v>
      </c>
      <c r="T458" t="s">
        <v>3789</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3791</v>
      </c>
      <c r="B459">
        <v>1980</v>
      </c>
      <c r="C459" t="s">
        <v>173</v>
      </c>
      <c r="D459" t="s">
        <v>3792</v>
      </c>
      <c r="E459" t="str">
        <f t="shared" si="7"/>
        <v>City of Murrieta Hot Springs</v>
      </c>
      <c r="F459">
        <v>1878</v>
      </c>
      <c r="G459" t="s">
        <v>3793</v>
      </c>
      <c r="H459">
        <v>1091</v>
      </c>
      <c r="I459">
        <v>0</v>
      </c>
      <c r="J459">
        <v>0</v>
      </c>
      <c r="K459">
        <v>1091</v>
      </c>
      <c r="L459">
        <v>573</v>
      </c>
      <c r="M459">
        <v>499</v>
      </c>
      <c r="N459">
        <v>74</v>
      </c>
      <c r="O459">
        <v>67300</v>
      </c>
      <c r="P459">
        <v>398</v>
      </c>
      <c r="Q459">
        <v>60</v>
      </c>
      <c r="R459">
        <v>44</v>
      </c>
      <c r="S459">
        <v>385</v>
      </c>
      <c r="T459" t="s">
        <v>3792</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3794</v>
      </c>
      <c r="B460">
        <v>1980</v>
      </c>
      <c r="C460" t="s">
        <v>173</v>
      </c>
      <c r="D460" t="s">
        <v>3795</v>
      </c>
      <c r="E460" t="str">
        <f t="shared" si="7"/>
        <v>City of Muscoy</v>
      </c>
      <c r="F460">
        <v>1881</v>
      </c>
      <c r="G460" t="s">
        <v>3796</v>
      </c>
      <c r="H460">
        <v>6188</v>
      </c>
      <c r="I460">
        <v>6188</v>
      </c>
      <c r="J460">
        <v>0</v>
      </c>
      <c r="K460">
        <v>0</v>
      </c>
      <c r="L460">
        <v>1934</v>
      </c>
      <c r="M460">
        <v>1281</v>
      </c>
      <c r="N460">
        <v>653</v>
      </c>
      <c r="O460">
        <v>39600</v>
      </c>
      <c r="P460">
        <v>1784</v>
      </c>
      <c r="Q460">
        <v>295</v>
      </c>
      <c r="R460">
        <v>46</v>
      </c>
      <c r="S460">
        <v>58</v>
      </c>
      <c r="T460" t="s">
        <v>3795</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3797</v>
      </c>
      <c r="B461">
        <v>1980</v>
      </c>
      <c r="C461" t="s">
        <v>173</v>
      </c>
      <c r="D461" t="s">
        <v>3798</v>
      </c>
      <c r="E461" t="str">
        <f t="shared" si="7"/>
        <v>City of Myrtletown</v>
      </c>
      <c r="F461">
        <v>1883</v>
      </c>
      <c r="G461" t="s">
        <v>3799</v>
      </c>
      <c r="H461">
        <v>3959</v>
      </c>
      <c r="I461">
        <v>0</v>
      </c>
      <c r="J461">
        <v>3959</v>
      </c>
      <c r="K461">
        <v>0</v>
      </c>
      <c r="L461">
        <v>1430</v>
      </c>
      <c r="M461">
        <v>940</v>
      </c>
      <c r="N461">
        <v>490</v>
      </c>
      <c r="O461">
        <v>59800</v>
      </c>
      <c r="P461">
        <v>1298</v>
      </c>
      <c r="Q461">
        <v>174</v>
      </c>
      <c r="R461">
        <v>14</v>
      </c>
      <c r="S461">
        <v>11</v>
      </c>
      <c r="T461" t="s">
        <v>3798</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3800</v>
      </c>
      <c r="B462">
        <v>1980</v>
      </c>
      <c r="C462" t="s">
        <v>173</v>
      </c>
      <c r="D462" t="s">
        <v>864</v>
      </c>
      <c r="E462" t="str">
        <f t="shared" si="7"/>
        <v>City of Napa</v>
      </c>
      <c r="F462">
        <v>1884</v>
      </c>
      <c r="G462" t="s">
        <v>3801</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3802</v>
      </c>
      <c r="B463">
        <v>1980</v>
      </c>
      <c r="C463" t="s">
        <v>173</v>
      </c>
      <c r="D463" t="s">
        <v>866</v>
      </c>
      <c r="E463" t="str">
        <f t="shared" si="7"/>
        <v>City of National City</v>
      </c>
      <c r="F463">
        <v>1885</v>
      </c>
      <c r="G463" t="s">
        <v>3803</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3804</v>
      </c>
      <c r="B464">
        <v>1980</v>
      </c>
      <c r="C464" t="s">
        <v>173</v>
      </c>
      <c r="D464" t="s">
        <v>3805</v>
      </c>
      <c r="E464" t="str">
        <f t="shared" si="7"/>
        <v>City of Nebo Center</v>
      </c>
      <c r="F464">
        <v>1887</v>
      </c>
      <c r="G464" t="s">
        <v>3806</v>
      </c>
      <c r="H464">
        <v>1749</v>
      </c>
      <c r="I464">
        <v>0</v>
      </c>
      <c r="J464">
        <v>0</v>
      </c>
      <c r="K464">
        <v>1749</v>
      </c>
      <c r="L464">
        <v>386</v>
      </c>
      <c r="M464">
        <v>1</v>
      </c>
      <c r="N464">
        <v>385</v>
      </c>
      <c r="O464">
        <v>0</v>
      </c>
      <c r="P464">
        <v>280</v>
      </c>
      <c r="Q464">
        <v>153</v>
      </c>
      <c r="R464">
        <v>3</v>
      </c>
      <c r="S464">
        <v>0</v>
      </c>
      <c r="T464" t="s">
        <v>3805</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3807</v>
      </c>
      <c r="B465">
        <v>1980</v>
      </c>
      <c r="C465" t="s">
        <v>173</v>
      </c>
      <c r="D465" t="s">
        <v>868</v>
      </c>
      <c r="E465" t="str">
        <f t="shared" si="7"/>
        <v>City of Needles</v>
      </c>
      <c r="F465">
        <v>1890</v>
      </c>
      <c r="G465" t="s">
        <v>3808</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3809</v>
      </c>
      <c r="B466">
        <v>1980</v>
      </c>
      <c r="C466" t="s">
        <v>173</v>
      </c>
      <c r="D466" t="s">
        <v>870</v>
      </c>
      <c r="E466" t="str">
        <f t="shared" si="7"/>
        <v>City of Nevada City</v>
      </c>
      <c r="F466">
        <v>1895</v>
      </c>
      <c r="G466" t="s">
        <v>3810</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3811</v>
      </c>
      <c r="B467">
        <v>1980</v>
      </c>
      <c r="C467" t="s">
        <v>173</v>
      </c>
      <c r="D467" t="s">
        <v>872</v>
      </c>
      <c r="E467" t="str">
        <f t="shared" si="7"/>
        <v>City of Newark</v>
      </c>
      <c r="F467">
        <v>1900</v>
      </c>
      <c r="G467" t="s">
        <v>3812</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3813</v>
      </c>
      <c r="B468">
        <v>1980</v>
      </c>
      <c r="C468" t="s">
        <v>173</v>
      </c>
      <c r="D468" t="s">
        <v>3814</v>
      </c>
      <c r="E468" t="str">
        <f t="shared" si="7"/>
        <v>City of Newhall</v>
      </c>
      <c r="F468">
        <v>1905</v>
      </c>
      <c r="G468" t="s">
        <v>3815</v>
      </c>
      <c r="H468">
        <v>12029</v>
      </c>
      <c r="I468">
        <v>12029</v>
      </c>
      <c r="J468">
        <v>0</v>
      </c>
      <c r="K468">
        <v>0</v>
      </c>
      <c r="L468">
        <v>4179</v>
      </c>
      <c r="M468">
        <v>2549</v>
      </c>
      <c r="N468">
        <v>1630</v>
      </c>
      <c r="O468">
        <v>102500</v>
      </c>
      <c r="P468">
        <v>3134</v>
      </c>
      <c r="Q468">
        <v>441</v>
      </c>
      <c r="R468">
        <v>619</v>
      </c>
      <c r="S468">
        <v>329</v>
      </c>
      <c r="T468" t="s">
        <v>3814</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3816</v>
      </c>
      <c r="B469">
        <v>1980</v>
      </c>
      <c r="C469" t="s">
        <v>173</v>
      </c>
      <c r="D469" t="s">
        <v>874</v>
      </c>
      <c r="E469" t="str">
        <f t="shared" si="7"/>
        <v>City of Newman</v>
      </c>
      <c r="F469">
        <v>1910</v>
      </c>
      <c r="G469" t="s">
        <v>3817</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3818</v>
      </c>
      <c r="B470">
        <v>1980</v>
      </c>
      <c r="C470" t="s">
        <v>173</v>
      </c>
      <c r="D470" t="s">
        <v>876</v>
      </c>
      <c r="E470" t="str">
        <f t="shared" si="7"/>
        <v>City of Newport Beach</v>
      </c>
      <c r="F470">
        <v>1915</v>
      </c>
      <c r="G470" t="s">
        <v>3819</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3820</v>
      </c>
      <c r="B471">
        <v>1980</v>
      </c>
      <c r="C471" t="s">
        <v>173</v>
      </c>
      <c r="D471" t="s">
        <v>3821</v>
      </c>
      <c r="E471" t="str">
        <f t="shared" si="7"/>
        <v>City of Niland</v>
      </c>
      <c r="F471">
        <v>1916</v>
      </c>
      <c r="G471" t="s">
        <v>3822</v>
      </c>
      <c r="H471">
        <v>1042</v>
      </c>
      <c r="I471">
        <v>0</v>
      </c>
      <c r="J471">
        <v>0</v>
      </c>
      <c r="K471">
        <v>1042</v>
      </c>
      <c r="L471">
        <v>434</v>
      </c>
      <c r="M471">
        <v>284</v>
      </c>
      <c r="N471">
        <v>150</v>
      </c>
      <c r="O471">
        <v>21000</v>
      </c>
      <c r="P471">
        <v>235</v>
      </c>
      <c r="Q471">
        <v>28</v>
      </c>
      <c r="R471">
        <v>9</v>
      </c>
      <c r="S471">
        <v>218</v>
      </c>
      <c r="T471" t="s">
        <v>3821</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3823</v>
      </c>
      <c r="B472">
        <v>1980</v>
      </c>
      <c r="C472" t="s">
        <v>173</v>
      </c>
      <c r="D472" t="s">
        <v>3824</v>
      </c>
      <c r="E472" t="str">
        <f t="shared" si="7"/>
        <v>City of Nipomo</v>
      </c>
      <c r="F472">
        <v>1918</v>
      </c>
      <c r="G472" t="s">
        <v>3825</v>
      </c>
      <c r="H472">
        <v>5247</v>
      </c>
      <c r="I472">
        <v>0</v>
      </c>
      <c r="J472">
        <v>5247</v>
      </c>
      <c r="K472">
        <v>0</v>
      </c>
      <c r="L472">
        <v>1711</v>
      </c>
      <c r="M472">
        <v>1310</v>
      </c>
      <c r="N472">
        <v>401</v>
      </c>
      <c r="O472">
        <v>72100</v>
      </c>
      <c r="P472">
        <v>1224</v>
      </c>
      <c r="Q472">
        <v>111</v>
      </c>
      <c r="R472">
        <v>9</v>
      </c>
      <c r="S472">
        <v>436</v>
      </c>
      <c r="T472" t="s">
        <v>3824</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3826</v>
      </c>
      <c r="B473">
        <v>1980</v>
      </c>
      <c r="C473" t="s">
        <v>173</v>
      </c>
      <c r="D473" t="s">
        <v>878</v>
      </c>
      <c r="E473" t="str">
        <f t="shared" si="7"/>
        <v>City of Norco</v>
      </c>
      <c r="F473">
        <v>1919</v>
      </c>
      <c r="G473" t="s">
        <v>3827</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3828</v>
      </c>
      <c r="B474">
        <v>1980</v>
      </c>
      <c r="C474" t="s">
        <v>173</v>
      </c>
      <c r="D474" t="s">
        <v>3829</v>
      </c>
      <c r="E474" t="str">
        <f t="shared" si="7"/>
        <v>City of North Auburn</v>
      </c>
      <c r="F474">
        <v>1924</v>
      </c>
      <c r="G474" t="s">
        <v>3830</v>
      </c>
      <c r="H474">
        <v>7619</v>
      </c>
      <c r="I474">
        <v>0</v>
      </c>
      <c r="J474">
        <v>7619</v>
      </c>
      <c r="K474">
        <v>0</v>
      </c>
      <c r="L474">
        <v>3170</v>
      </c>
      <c r="M474">
        <v>2143</v>
      </c>
      <c r="N474">
        <v>1027</v>
      </c>
      <c r="O474">
        <v>69000</v>
      </c>
      <c r="P474">
        <v>2007</v>
      </c>
      <c r="Q474">
        <v>577</v>
      </c>
      <c r="R474">
        <v>175</v>
      </c>
      <c r="S474">
        <v>640</v>
      </c>
      <c r="T474" t="s">
        <v>3829</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3831</v>
      </c>
      <c r="B475">
        <v>1980</v>
      </c>
      <c r="C475" t="s">
        <v>173</v>
      </c>
      <c r="D475" t="s">
        <v>3832</v>
      </c>
      <c r="E475" t="str">
        <f t="shared" si="7"/>
        <v>City of North Edwards</v>
      </c>
      <c r="F475">
        <v>1925</v>
      </c>
      <c r="G475" t="s">
        <v>3833</v>
      </c>
      <c r="H475">
        <v>1107</v>
      </c>
      <c r="I475">
        <v>0</v>
      </c>
      <c r="J475">
        <v>0</v>
      </c>
      <c r="K475">
        <v>1107</v>
      </c>
      <c r="L475">
        <v>402</v>
      </c>
      <c r="M475">
        <v>276</v>
      </c>
      <c r="N475">
        <v>126</v>
      </c>
      <c r="O475">
        <v>39600</v>
      </c>
      <c r="P475">
        <v>279</v>
      </c>
      <c r="Q475">
        <v>53</v>
      </c>
      <c r="R475">
        <v>39</v>
      </c>
      <c r="S475">
        <v>75</v>
      </c>
      <c r="T475" t="s">
        <v>3832</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3834</v>
      </c>
      <c r="B476">
        <v>1980</v>
      </c>
      <c r="C476" t="s">
        <v>173</v>
      </c>
      <c r="D476" t="s">
        <v>3835</v>
      </c>
      <c r="E476" t="str">
        <f t="shared" si="7"/>
        <v>City of North Fair Oaks</v>
      </c>
      <c r="F476">
        <v>1927</v>
      </c>
      <c r="G476" t="s">
        <v>3836</v>
      </c>
      <c r="H476">
        <v>10308</v>
      </c>
      <c r="I476">
        <v>10308</v>
      </c>
      <c r="J476">
        <v>0</v>
      </c>
      <c r="K476">
        <v>0</v>
      </c>
      <c r="L476">
        <v>3599</v>
      </c>
      <c r="M476">
        <v>1726</v>
      </c>
      <c r="N476">
        <v>1873</v>
      </c>
      <c r="O476">
        <v>88100</v>
      </c>
      <c r="P476">
        <v>2623</v>
      </c>
      <c r="Q476">
        <v>704</v>
      </c>
      <c r="R476">
        <v>254</v>
      </c>
      <c r="S476">
        <v>153</v>
      </c>
      <c r="T476" t="s">
        <v>3835</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3837</v>
      </c>
      <c r="B477">
        <v>1980</v>
      </c>
      <c r="C477" t="s">
        <v>173</v>
      </c>
      <c r="D477" t="s">
        <v>3838</v>
      </c>
      <c r="E477" t="str">
        <f t="shared" si="7"/>
        <v>City of North Highlands</v>
      </c>
      <c r="F477">
        <v>1935</v>
      </c>
      <c r="G477" t="s">
        <v>3839</v>
      </c>
      <c r="H477">
        <v>37825</v>
      </c>
      <c r="I477">
        <v>37825</v>
      </c>
      <c r="J477">
        <v>0</v>
      </c>
      <c r="K477">
        <v>0</v>
      </c>
      <c r="L477">
        <v>13108</v>
      </c>
      <c r="M477">
        <v>7416</v>
      </c>
      <c r="N477">
        <v>5692</v>
      </c>
      <c r="O477">
        <v>48300</v>
      </c>
      <c r="P477">
        <v>10584</v>
      </c>
      <c r="Q477">
        <v>1130</v>
      </c>
      <c r="R477">
        <v>1400</v>
      </c>
      <c r="S477">
        <v>872</v>
      </c>
      <c r="T477" t="s">
        <v>3838</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3840</v>
      </c>
      <c r="B478">
        <v>1980</v>
      </c>
      <c r="C478" t="s">
        <v>173</v>
      </c>
      <c r="D478" t="s">
        <v>880</v>
      </c>
      <c r="E478" t="str">
        <f t="shared" si="7"/>
        <v>City of Norwalk</v>
      </c>
      <c r="F478">
        <v>1950</v>
      </c>
      <c r="G478" t="s">
        <v>3841</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3842</v>
      </c>
      <c r="B479">
        <v>1980</v>
      </c>
      <c r="C479" t="s">
        <v>173</v>
      </c>
      <c r="D479" t="s">
        <v>882</v>
      </c>
      <c r="E479" t="str">
        <f t="shared" si="7"/>
        <v>City of Novato</v>
      </c>
      <c r="F479">
        <v>1955</v>
      </c>
      <c r="G479" t="s">
        <v>3843</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3844</v>
      </c>
      <c r="B480">
        <v>1980</v>
      </c>
      <c r="C480" t="s">
        <v>173</v>
      </c>
      <c r="D480" t="s">
        <v>3845</v>
      </c>
      <c r="E480" t="str">
        <f t="shared" si="7"/>
        <v>City of Nuevo</v>
      </c>
      <c r="F480">
        <v>1957</v>
      </c>
      <c r="G480" t="s">
        <v>3846</v>
      </c>
      <c r="H480">
        <v>1628</v>
      </c>
      <c r="I480">
        <v>0</v>
      </c>
      <c r="J480">
        <v>0</v>
      </c>
      <c r="K480">
        <v>1628</v>
      </c>
      <c r="L480">
        <v>549</v>
      </c>
      <c r="M480">
        <v>476</v>
      </c>
      <c r="N480">
        <v>73</v>
      </c>
      <c r="O480">
        <v>72200</v>
      </c>
      <c r="P480">
        <v>473</v>
      </c>
      <c r="Q480">
        <v>15</v>
      </c>
      <c r="R480">
        <v>1</v>
      </c>
      <c r="S480">
        <v>118</v>
      </c>
      <c r="T480" t="s">
        <v>3845</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3847</v>
      </c>
      <c r="B481">
        <v>1980</v>
      </c>
      <c r="C481" t="s">
        <v>173</v>
      </c>
      <c r="D481" t="s">
        <v>884</v>
      </c>
      <c r="E481" t="str">
        <f t="shared" si="7"/>
        <v>City of Oakdale</v>
      </c>
      <c r="F481">
        <v>1965</v>
      </c>
      <c r="G481" t="s">
        <v>3848</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3849</v>
      </c>
      <c r="B482">
        <v>1980</v>
      </c>
      <c r="C482" t="s">
        <v>173</v>
      </c>
      <c r="D482" t="s">
        <v>3850</v>
      </c>
      <c r="E482" t="str">
        <f t="shared" si="7"/>
        <v>City of Oakhurst</v>
      </c>
      <c r="F482">
        <v>1967</v>
      </c>
      <c r="G482" t="s">
        <v>3851</v>
      </c>
      <c r="H482">
        <v>1959</v>
      </c>
      <c r="I482">
        <v>0</v>
      </c>
      <c r="J482">
        <v>0</v>
      </c>
      <c r="K482">
        <v>1959</v>
      </c>
      <c r="L482">
        <v>755</v>
      </c>
      <c r="M482">
        <v>568</v>
      </c>
      <c r="N482">
        <v>187</v>
      </c>
      <c r="O482">
        <v>71800</v>
      </c>
      <c r="P482">
        <v>539</v>
      </c>
      <c r="Q482">
        <v>112</v>
      </c>
      <c r="R482">
        <v>58</v>
      </c>
      <c r="S482">
        <v>138</v>
      </c>
      <c r="T482" t="s">
        <v>3850</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3852</v>
      </c>
      <c r="B483">
        <v>1980</v>
      </c>
      <c r="C483" t="s">
        <v>173</v>
      </c>
      <c r="D483" t="s">
        <v>886</v>
      </c>
      <c r="E483" t="str">
        <f t="shared" si="7"/>
        <v>City of Oakland</v>
      </c>
      <c r="F483">
        <v>1970</v>
      </c>
      <c r="G483" t="s">
        <v>3853</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3854</v>
      </c>
      <c r="B484">
        <v>1980</v>
      </c>
      <c r="C484" t="s">
        <v>173</v>
      </c>
      <c r="D484" t="s">
        <v>888</v>
      </c>
      <c r="E484" t="str">
        <f t="shared" si="7"/>
        <v>City of Oakley</v>
      </c>
      <c r="F484">
        <v>1975</v>
      </c>
      <c r="G484" t="s">
        <v>3855</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3856</v>
      </c>
      <c r="B485">
        <v>1980</v>
      </c>
      <c r="C485" t="s">
        <v>173</v>
      </c>
      <c r="D485" t="s">
        <v>3857</v>
      </c>
      <c r="E485" t="str">
        <f t="shared" si="7"/>
        <v>City of Oak View</v>
      </c>
      <c r="F485">
        <v>1980</v>
      </c>
      <c r="G485" t="s">
        <v>3858</v>
      </c>
      <c r="H485">
        <v>4671</v>
      </c>
      <c r="I485">
        <v>0</v>
      </c>
      <c r="J485">
        <v>4671</v>
      </c>
      <c r="K485">
        <v>0</v>
      </c>
      <c r="L485">
        <v>1612</v>
      </c>
      <c r="M485">
        <v>1169</v>
      </c>
      <c r="N485">
        <v>443</v>
      </c>
      <c r="O485">
        <v>79600</v>
      </c>
      <c r="P485">
        <v>1512</v>
      </c>
      <c r="Q485">
        <v>69</v>
      </c>
      <c r="R485">
        <v>0</v>
      </c>
      <c r="S485">
        <v>105</v>
      </c>
      <c r="T485" t="s">
        <v>3857</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3859</v>
      </c>
      <c r="B486">
        <v>1980</v>
      </c>
      <c r="C486" t="s">
        <v>173</v>
      </c>
      <c r="D486" t="s">
        <v>3860</v>
      </c>
      <c r="E486" t="str">
        <f t="shared" si="7"/>
        <v>City of Oceano</v>
      </c>
      <c r="F486">
        <v>1985</v>
      </c>
      <c r="G486" t="s">
        <v>3861</v>
      </c>
      <c r="H486">
        <v>4478</v>
      </c>
      <c r="I486">
        <v>0</v>
      </c>
      <c r="J486">
        <v>4478</v>
      </c>
      <c r="K486">
        <v>0</v>
      </c>
      <c r="L486">
        <v>1585</v>
      </c>
      <c r="M486">
        <v>995</v>
      </c>
      <c r="N486">
        <v>590</v>
      </c>
      <c r="O486">
        <v>56800</v>
      </c>
      <c r="P486">
        <v>1176</v>
      </c>
      <c r="Q486">
        <v>204</v>
      </c>
      <c r="R486">
        <v>19</v>
      </c>
      <c r="S486">
        <v>372</v>
      </c>
      <c r="T486" t="s">
        <v>3860</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3862</v>
      </c>
      <c r="B487">
        <v>1980</v>
      </c>
      <c r="C487" t="s">
        <v>173</v>
      </c>
      <c r="D487" t="s">
        <v>890</v>
      </c>
      <c r="E487" t="str">
        <f t="shared" si="7"/>
        <v>City of Oceanside</v>
      </c>
      <c r="F487">
        <v>1990</v>
      </c>
      <c r="G487" t="s">
        <v>3863</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3864</v>
      </c>
      <c r="B488">
        <v>1980</v>
      </c>
      <c r="C488" t="s">
        <v>173</v>
      </c>
      <c r="D488" t="s">
        <v>3865</v>
      </c>
      <c r="E488" t="str">
        <f t="shared" si="7"/>
        <v>City of Oildale</v>
      </c>
      <c r="F488">
        <v>1992</v>
      </c>
      <c r="G488" t="s">
        <v>3866</v>
      </c>
      <c r="H488">
        <v>23382</v>
      </c>
      <c r="I488">
        <v>23382</v>
      </c>
      <c r="J488">
        <v>0</v>
      </c>
      <c r="K488">
        <v>0</v>
      </c>
      <c r="L488">
        <v>9539</v>
      </c>
      <c r="M488">
        <v>5508</v>
      </c>
      <c r="N488">
        <v>4031</v>
      </c>
      <c r="O488">
        <v>48300</v>
      </c>
      <c r="P488">
        <v>7138</v>
      </c>
      <c r="Q488">
        <v>1555</v>
      </c>
      <c r="R488">
        <v>426</v>
      </c>
      <c r="S488">
        <v>1061</v>
      </c>
      <c r="T488" t="s">
        <v>3865</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3867</v>
      </c>
      <c r="B489">
        <v>1980</v>
      </c>
      <c r="C489" t="s">
        <v>173</v>
      </c>
      <c r="D489" t="s">
        <v>892</v>
      </c>
      <c r="E489" t="str">
        <f t="shared" si="7"/>
        <v>City of Ojai</v>
      </c>
      <c r="F489">
        <v>1995</v>
      </c>
      <c r="G489" t="s">
        <v>3868</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3869</v>
      </c>
      <c r="B490">
        <v>1980</v>
      </c>
      <c r="C490" t="s">
        <v>173</v>
      </c>
      <c r="D490" t="s">
        <v>3870</v>
      </c>
      <c r="E490" t="str">
        <f t="shared" si="7"/>
        <v>City of Olivehurst</v>
      </c>
      <c r="F490">
        <v>2000</v>
      </c>
      <c r="G490" t="s">
        <v>3871</v>
      </c>
      <c r="H490">
        <v>8929</v>
      </c>
      <c r="I490">
        <v>8929</v>
      </c>
      <c r="J490">
        <v>0</v>
      </c>
      <c r="K490">
        <v>0</v>
      </c>
      <c r="L490">
        <v>2966</v>
      </c>
      <c r="M490">
        <v>2054</v>
      </c>
      <c r="N490">
        <v>912</v>
      </c>
      <c r="O490">
        <v>39600</v>
      </c>
      <c r="P490">
        <v>2388</v>
      </c>
      <c r="Q490">
        <v>316</v>
      </c>
      <c r="R490">
        <v>156</v>
      </c>
      <c r="S490">
        <v>386</v>
      </c>
      <c r="T490" t="s">
        <v>3870</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3872</v>
      </c>
      <c r="B491">
        <v>1980</v>
      </c>
      <c r="C491" t="s">
        <v>173</v>
      </c>
      <c r="D491" t="s">
        <v>894</v>
      </c>
      <c r="E491" t="str">
        <f t="shared" si="7"/>
        <v>City of Ontario</v>
      </c>
      <c r="F491">
        <v>2005</v>
      </c>
      <c r="G491" t="s">
        <v>3873</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3874</v>
      </c>
      <c r="B492">
        <v>1980</v>
      </c>
      <c r="C492" t="s">
        <v>173</v>
      </c>
      <c r="D492" t="s">
        <v>3875</v>
      </c>
      <c r="E492" t="str">
        <f t="shared" si="7"/>
        <v>City of Opal Cliffs</v>
      </c>
      <c r="F492">
        <v>2010</v>
      </c>
      <c r="G492" t="s">
        <v>3876</v>
      </c>
      <c r="H492">
        <v>5041</v>
      </c>
      <c r="I492">
        <v>5041</v>
      </c>
      <c r="J492">
        <v>0</v>
      </c>
      <c r="K492">
        <v>0</v>
      </c>
      <c r="L492">
        <v>2509</v>
      </c>
      <c r="M492">
        <v>1427</v>
      </c>
      <c r="N492">
        <v>1082</v>
      </c>
      <c r="O492">
        <v>85700</v>
      </c>
      <c r="P492">
        <v>1737</v>
      </c>
      <c r="Q492">
        <v>315</v>
      </c>
      <c r="R492">
        <v>85</v>
      </c>
      <c r="S492">
        <v>584</v>
      </c>
      <c r="T492" t="s">
        <v>3875</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3877</v>
      </c>
      <c r="B493">
        <v>1980</v>
      </c>
      <c r="C493" t="s">
        <v>173</v>
      </c>
      <c r="D493" t="s">
        <v>896</v>
      </c>
      <c r="E493" t="str">
        <f t="shared" si="7"/>
        <v>City of Orange</v>
      </c>
      <c r="F493">
        <v>2015</v>
      </c>
      <c r="G493" t="s">
        <v>3878</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3879</v>
      </c>
      <c r="B494">
        <v>1980</v>
      </c>
      <c r="C494" t="s">
        <v>173</v>
      </c>
      <c r="D494" t="s">
        <v>898</v>
      </c>
      <c r="E494" t="str">
        <f t="shared" si="7"/>
        <v>City of Orange Cove</v>
      </c>
      <c r="F494">
        <v>2020</v>
      </c>
      <c r="G494" t="s">
        <v>3880</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3881</v>
      </c>
      <c r="B495">
        <v>1980</v>
      </c>
      <c r="C495" t="s">
        <v>173</v>
      </c>
      <c r="D495" t="s">
        <v>3882</v>
      </c>
      <c r="E495" t="str">
        <f t="shared" si="7"/>
        <v>City of Orangevale</v>
      </c>
      <c r="F495">
        <v>2022</v>
      </c>
      <c r="G495" t="s">
        <v>3883</v>
      </c>
      <c r="H495">
        <v>20585</v>
      </c>
      <c r="I495">
        <v>20585</v>
      </c>
      <c r="J495">
        <v>0</v>
      </c>
      <c r="K495">
        <v>0</v>
      </c>
      <c r="L495">
        <v>6869</v>
      </c>
      <c r="M495">
        <v>5478</v>
      </c>
      <c r="N495">
        <v>1391</v>
      </c>
      <c r="O495">
        <v>68900</v>
      </c>
      <c r="P495">
        <v>6398</v>
      </c>
      <c r="Q495">
        <v>291</v>
      </c>
      <c r="R495">
        <v>173</v>
      </c>
      <c r="S495">
        <v>353</v>
      </c>
      <c r="T495" t="s">
        <v>3882</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3884</v>
      </c>
      <c r="B496">
        <v>1980</v>
      </c>
      <c r="C496" t="s">
        <v>173</v>
      </c>
      <c r="D496" t="s">
        <v>900</v>
      </c>
      <c r="E496" t="str">
        <f t="shared" si="7"/>
        <v>City of Orinda</v>
      </c>
      <c r="F496">
        <v>2030</v>
      </c>
      <c r="G496" t="s">
        <v>3885</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3886</v>
      </c>
      <c r="B497">
        <v>1980</v>
      </c>
      <c r="C497" t="s">
        <v>173</v>
      </c>
      <c r="D497" t="s">
        <v>902</v>
      </c>
      <c r="E497" t="str">
        <f t="shared" si="7"/>
        <v>City of Orland</v>
      </c>
      <c r="F497">
        <v>2035</v>
      </c>
      <c r="G497" t="s">
        <v>3887</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3888</v>
      </c>
      <c r="B498">
        <v>1980</v>
      </c>
      <c r="C498" t="s">
        <v>173</v>
      </c>
      <c r="D498" t="s">
        <v>3889</v>
      </c>
      <c r="E498" t="str">
        <f t="shared" si="7"/>
        <v>City of Orosi</v>
      </c>
      <c r="F498">
        <v>2040</v>
      </c>
      <c r="G498" t="s">
        <v>3890</v>
      </c>
      <c r="H498">
        <v>4076</v>
      </c>
      <c r="I498">
        <v>0</v>
      </c>
      <c r="J498">
        <v>4076</v>
      </c>
      <c r="K498">
        <v>0</v>
      </c>
      <c r="L498">
        <v>1118</v>
      </c>
      <c r="M498">
        <v>838</v>
      </c>
      <c r="N498">
        <v>280</v>
      </c>
      <c r="O498">
        <v>41200</v>
      </c>
      <c r="P498">
        <v>917</v>
      </c>
      <c r="Q498">
        <v>114</v>
      </c>
      <c r="R498">
        <v>5</v>
      </c>
      <c r="S498">
        <v>117</v>
      </c>
      <c r="T498" t="s">
        <v>3889</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3891</v>
      </c>
      <c r="B499">
        <v>1980</v>
      </c>
      <c r="C499" t="s">
        <v>173</v>
      </c>
      <c r="D499" t="s">
        <v>904</v>
      </c>
      <c r="E499" t="str">
        <f t="shared" si="7"/>
        <v>City of Oroville</v>
      </c>
      <c r="F499">
        <v>2045</v>
      </c>
      <c r="G499" t="s">
        <v>3892</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3893</v>
      </c>
      <c r="B500">
        <v>1980</v>
      </c>
      <c r="C500" t="s">
        <v>173</v>
      </c>
      <c r="D500" t="s">
        <v>906</v>
      </c>
      <c r="E500" t="str">
        <f t="shared" si="7"/>
        <v>City of Oxnard</v>
      </c>
      <c r="F500">
        <v>2050</v>
      </c>
      <c r="G500" t="s">
        <v>3894</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3895</v>
      </c>
      <c r="B501">
        <v>1980</v>
      </c>
      <c r="C501" t="s">
        <v>173</v>
      </c>
      <c r="D501" t="s">
        <v>910</v>
      </c>
      <c r="E501" t="str">
        <f t="shared" si="7"/>
        <v>City of Pacifica</v>
      </c>
      <c r="F501">
        <v>2060</v>
      </c>
      <c r="G501" t="s">
        <v>3896</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3897</v>
      </c>
      <c r="B502">
        <v>1980</v>
      </c>
      <c r="C502" t="s">
        <v>173</v>
      </c>
      <c r="D502" t="s">
        <v>908</v>
      </c>
      <c r="E502" t="str">
        <f t="shared" si="7"/>
        <v>City of Pacific Grove</v>
      </c>
      <c r="F502">
        <v>2065</v>
      </c>
      <c r="G502" t="s">
        <v>3898</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3899</v>
      </c>
      <c r="B503">
        <v>1980</v>
      </c>
      <c r="C503" t="s">
        <v>173</v>
      </c>
      <c r="D503" t="s">
        <v>3900</v>
      </c>
      <c r="E503" t="str">
        <f t="shared" si="7"/>
        <v>City of Pajaro</v>
      </c>
      <c r="F503">
        <v>2070</v>
      </c>
      <c r="G503" t="s">
        <v>3901</v>
      </c>
      <c r="H503">
        <v>1426</v>
      </c>
      <c r="I503">
        <v>0</v>
      </c>
      <c r="J503">
        <v>0</v>
      </c>
      <c r="K503">
        <v>1426</v>
      </c>
      <c r="L503">
        <v>359</v>
      </c>
      <c r="M503">
        <v>102</v>
      </c>
      <c r="N503">
        <v>257</v>
      </c>
      <c r="O503">
        <v>56800</v>
      </c>
      <c r="P503">
        <v>153</v>
      </c>
      <c r="Q503">
        <v>110</v>
      </c>
      <c r="R503">
        <v>87</v>
      </c>
      <c r="S503">
        <v>33</v>
      </c>
      <c r="T503" t="s">
        <v>3900</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3902</v>
      </c>
      <c r="B504">
        <v>1980</v>
      </c>
      <c r="C504" t="s">
        <v>173</v>
      </c>
      <c r="D504" t="s">
        <v>3903</v>
      </c>
      <c r="E504" t="str">
        <f t="shared" si="7"/>
        <v>City of Palermo</v>
      </c>
      <c r="F504">
        <v>2071</v>
      </c>
      <c r="G504" t="s">
        <v>3904</v>
      </c>
      <c r="H504">
        <v>2572</v>
      </c>
      <c r="I504">
        <v>0</v>
      </c>
      <c r="J504">
        <v>2572</v>
      </c>
      <c r="K504">
        <v>0</v>
      </c>
      <c r="L504">
        <v>968</v>
      </c>
      <c r="M504">
        <v>775</v>
      </c>
      <c r="N504">
        <v>193</v>
      </c>
      <c r="O504">
        <v>35100</v>
      </c>
      <c r="P504">
        <v>542</v>
      </c>
      <c r="Q504">
        <v>55</v>
      </c>
      <c r="R504">
        <v>4</v>
      </c>
      <c r="S504">
        <v>423</v>
      </c>
      <c r="T504" t="s">
        <v>3903</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3905</v>
      </c>
      <c r="B505">
        <v>1980</v>
      </c>
      <c r="C505" t="s">
        <v>173</v>
      </c>
      <c r="D505" t="s">
        <v>916</v>
      </c>
      <c r="E505" t="str">
        <f t="shared" si="7"/>
        <v>City of Palmdale</v>
      </c>
      <c r="F505">
        <v>2072</v>
      </c>
      <c r="G505" t="s">
        <v>3906</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3907</v>
      </c>
      <c r="B506">
        <v>1980</v>
      </c>
      <c r="C506" t="s">
        <v>173</v>
      </c>
      <c r="D506" t="s">
        <v>3908</v>
      </c>
      <c r="E506" t="str">
        <f t="shared" si="7"/>
        <v>City of Palmdale East</v>
      </c>
      <c r="F506">
        <v>2077</v>
      </c>
      <c r="G506" t="s">
        <v>3909</v>
      </c>
      <c r="H506">
        <v>2920</v>
      </c>
      <c r="I506">
        <v>0</v>
      </c>
      <c r="J506">
        <v>2920</v>
      </c>
      <c r="K506">
        <v>0</v>
      </c>
      <c r="L506">
        <v>872</v>
      </c>
      <c r="M506">
        <v>701</v>
      </c>
      <c r="N506">
        <v>171</v>
      </c>
      <c r="O506">
        <v>59000</v>
      </c>
      <c r="P506">
        <v>885</v>
      </c>
      <c r="Q506">
        <v>30</v>
      </c>
      <c r="R506">
        <v>1</v>
      </c>
      <c r="S506">
        <v>0</v>
      </c>
      <c r="T506" t="s">
        <v>3908</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3910</v>
      </c>
      <c r="B507">
        <v>1980</v>
      </c>
      <c r="C507" t="s">
        <v>173</v>
      </c>
      <c r="D507" t="s">
        <v>912</v>
      </c>
      <c r="E507" t="str">
        <f t="shared" si="7"/>
        <v>City of Palm Desert</v>
      </c>
      <c r="F507">
        <v>2080</v>
      </c>
      <c r="G507" t="s">
        <v>3911</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3912</v>
      </c>
      <c r="B508">
        <v>1980</v>
      </c>
      <c r="C508" t="s">
        <v>173</v>
      </c>
      <c r="D508" t="s">
        <v>914</v>
      </c>
      <c r="E508" t="str">
        <f t="shared" si="7"/>
        <v>City of Palm Springs</v>
      </c>
      <c r="F508">
        <v>2085</v>
      </c>
      <c r="G508" t="s">
        <v>3913</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3914</v>
      </c>
      <c r="B509">
        <v>1980</v>
      </c>
      <c r="C509" t="s">
        <v>173</v>
      </c>
      <c r="D509" t="s">
        <v>918</v>
      </c>
      <c r="E509" t="str">
        <f t="shared" si="7"/>
        <v>City of Palo Alto</v>
      </c>
      <c r="F509">
        <v>2090</v>
      </c>
      <c r="G509" t="s">
        <v>3915</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3916</v>
      </c>
      <c r="B510">
        <v>1980</v>
      </c>
      <c r="C510" t="s">
        <v>173</v>
      </c>
      <c r="D510" t="s">
        <v>920</v>
      </c>
      <c r="E510" t="str">
        <f t="shared" si="7"/>
        <v>City of Palos Verdes Estates</v>
      </c>
      <c r="F510">
        <v>2095</v>
      </c>
      <c r="G510" t="s">
        <v>3917</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3918</v>
      </c>
      <c r="B511">
        <v>1980</v>
      </c>
      <c r="C511" t="s">
        <v>173</v>
      </c>
      <c r="D511" t="s">
        <v>922</v>
      </c>
      <c r="E511" t="str">
        <f t="shared" si="7"/>
        <v>City of Paradise</v>
      </c>
      <c r="F511">
        <v>2100</v>
      </c>
      <c r="G511" t="s">
        <v>3919</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3920</v>
      </c>
      <c r="B512">
        <v>1980</v>
      </c>
      <c r="C512" t="s">
        <v>173</v>
      </c>
      <c r="D512" t="s">
        <v>924</v>
      </c>
      <c r="E512" t="str">
        <f t="shared" si="7"/>
        <v>City of Paramount</v>
      </c>
      <c r="F512">
        <v>2115</v>
      </c>
      <c r="G512" t="s">
        <v>3921</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3922</v>
      </c>
      <c r="B513">
        <v>1980</v>
      </c>
      <c r="C513" t="s">
        <v>173</v>
      </c>
      <c r="D513" t="s">
        <v>3923</v>
      </c>
      <c r="E513" t="str">
        <f t="shared" si="7"/>
        <v>City of Parksdale</v>
      </c>
      <c r="F513">
        <v>2116</v>
      </c>
      <c r="G513" t="s">
        <v>3924</v>
      </c>
      <c r="H513">
        <v>1267</v>
      </c>
      <c r="I513">
        <v>0</v>
      </c>
      <c r="J513">
        <v>0</v>
      </c>
      <c r="K513">
        <v>1267</v>
      </c>
      <c r="L513">
        <v>349</v>
      </c>
      <c r="M513">
        <v>229</v>
      </c>
      <c r="N513">
        <v>120</v>
      </c>
      <c r="O513">
        <v>36900</v>
      </c>
      <c r="P513">
        <v>294</v>
      </c>
      <c r="Q513">
        <v>55</v>
      </c>
      <c r="R513">
        <v>0</v>
      </c>
      <c r="S513">
        <v>32</v>
      </c>
      <c r="T513" t="s">
        <v>3923</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3925</v>
      </c>
      <c r="B514">
        <v>1980</v>
      </c>
      <c r="C514" t="s">
        <v>173</v>
      </c>
      <c r="D514" t="s">
        <v>3926</v>
      </c>
      <c r="E514" t="str">
        <f t="shared" si="7"/>
        <v>City of Parkway-Sacramento South</v>
      </c>
      <c r="F514">
        <v>2117</v>
      </c>
      <c r="G514" t="s">
        <v>3927</v>
      </c>
      <c r="H514">
        <v>26815</v>
      </c>
      <c r="I514">
        <v>26815</v>
      </c>
      <c r="J514">
        <v>0</v>
      </c>
      <c r="K514">
        <v>0</v>
      </c>
      <c r="L514">
        <v>10152</v>
      </c>
      <c r="M514">
        <v>5679</v>
      </c>
      <c r="N514">
        <v>4473</v>
      </c>
      <c r="O514">
        <v>49400</v>
      </c>
      <c r="P514">
        <v>7977</v>
      </c>
      <c r="Q514">
        <v>1342</v>
      </c>
      <c r="R514">
        <v>1601</v>
      </c>
      <c r="S514">
        <v>92</v>
      </c>
      <c r="T514" t="s">
        <v>3926</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3928</v>
      </c>
      <c r="B515">
        <v>1980</v>
      </c>
      <c r="C515" t="s">
        <v>173</v>
      </c>
      <c r="D515" t="s">
        <v>3929</v>
      </c>
      <c r="E515" t="str">
        <f t="shared" si="7"/>
        <v>City of Parkwood</v>
      </c>
      <c r="F515">
        <v>2118</v>
      </c>
      <c r="G515" t="s">
        <v>3930</v>
      </c>
      <c r="H515">
        <v>1146</v>
      </c>
      <c r="I515">
        <v>0</v>
      </c>
      <c r="J515">
        <v>0</v>
      </c>
      <c r="K515">
        <v>1146</v>
      </c>
      <c r="L515">
        <v>333</v>
      </c>
      <c r="M515">
        <v>275</v>
      </c>
      <c r="N515">
        <v>58</v>
      </c>
      <c r="O515">
        <v>48500</v>
      </c>
      <c r="P515">
        <v>384</v>
      </c>
      <c r="Q515">
        <v>9</v>
      </c>
      <c r="R515">
        <v>1</v>
      </c>
      <c r="S515">
        <v>0</v>
      </c>
      <c r="T515" t="s">
        <v>3929</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3931</v>
      </c>
      <c r="B516">
        <v>1980</v>
      </c>
      <c r="C516" t="s">
        <v>173</v>
      </c>
      <c r="D516" t="s">
        <v>926</v>
      </c>
      <c r="E516" t="str">
        <f t="shared" si="7"/>
        <v>City of Parlier</v>
      </c>
      <c r="F516">
        <v>2120</v>
      </c>
      <c r="G516" t="s">
        <v>3932</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3933</v>
      </c>
      <c r="B517">
        <v>1980</v>
      </c>
      <c r="C517" t="s">
        <v>173</v>
      </c>
      <c r="D517" t="s">
        <v>928</v>
      </c>
      <c r="E517" t="str">
        <f t="shared" ref="E517:E580" si="8">_xlfn.CONCAT("City of ",D517)</f>
        <v>City of Pasadena</v>
      </c>
      <c r="F517">
        <v>2125</v>
      </c>
      <c r="G517" t="s">
        <v>3934</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3935</v>
      </c>
      <c r="B518">
        <v>1980</v>
      </c>
      <c r="C518" t="s">
        <v>173</v>
      </c>
      <c r="D518" t="s">
        <v>932</v>
      </c>
      <c r="E518" t="str">
        <f t="shared" si="8"/>
        <v>City of Patterson</v>
      </c>
      <c r="F518">
        <v>2130</v>
      </c>
      <c r="G518" t="s">
        <v>3936</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3937</v>
      </c>
      <c r="B519">
        <v>1980</v>
      </c>
      <c r="C519" t="s">
        <v>173</v>
      </c>
      <c r="D519" t="s">
        <v>3938</v>
      </c>
      <c r="E519" t="str">
        <f t="shared" si="8"/>
        <v>City of Penn Valley</v>
      </c>
      <c r="F519">
        <v>2137</v>
      </c>
      <c r="G519" t="s">
        <v>3939</v>
      </c>
      <c r="H519">
        <v>1032</v>
      </c>
      <c r="I519">
        <v>0</v>
      </c>
      <c r="J519">
        <v>0</v>
      </c>
      <c r="K519">
        <v>1032</v>
      </c>
      <c r="L519">
        <v>384</v>
      </c>
      <c r="M519">
        <v>329</v>
      </c>
      <c r="N519">
        <v>55</v>
      </c>
      <c r="O519">
        <v>76300</v>
      </c>
      <c r="P519">
        <v>295</v>
      </c>
      <c r="Q519">
        <v>21</v>
      </c>
      <c r="R519">
        <v>0</v>
      </c>
      <c r="S519">
        <v>111</v>
      </c>
      <c r="T519" t="s">
        <v>3938</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3940</v>
      </c>
      <c r="B520">
        <v>1980</v>
      </c>
      <c r="C520" t="s">
        <v>173</v>
      </c>
      <c r="D520" t="s">
        <v>934</v>
      </c>
      <c r="E520" t="str">
        <f t="shared" si="8"/>
        <v>City of Perris</v>
      </c>
      <c r="F520">
        <v>2138</v>
      </c>
      <c r="G520" t="s">
        <v>3941</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3942</v>
      </c>
      <c r="B521">
        <v>1980</v>
      </c>
      <c r="C521" t="s">
        <v>173</v>
      </c>
      <c r="D521" t="s">
        <v>936</v>
      </c>
      <c r="E521" t="str">
        <f t="shared" si="8"/>
        <v>City of Petaluma</v>
      </c>
      <c r="F521">
        <v>2140</v>
      </c>
      <c r="G521" t="s">
        <v>3943</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3944</v>
      </c>
      <c r="B522">
        <v>1980</v>
      </c>
      <c r="C522" t="s">
        <v>173</v>
      </c>
      <c r="D522" t="s">
        <v>938</v>
      </c>
      <c r="E522" t="str">
        <f t="shared" si="8"/>
        <v>City of Pico Rivera</v>
      </c>
      <c r="F522">
        <v>2145</v>
      </c>
      <c r="G522" t="s">
        <v>3945</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3946</v>
      </c>
      <c r="B523">
        <v>1980</v>
      </c>
      <c r="C523" t="s">
        <v>173</v>
      </c>
      <c r="D523" t="s">
        <v>3947</v>
      </c>
      <c r="E523" t="str">
        <f t="shared" si="8"/>
        <v>City of Piedmont</v>
      </c>
      <c r="F523">
        <v>2150</v>
      </c>
      <c r="G523" t="s">
        <v>3948</v>
      </c>
      <c r="H523">
        <v>10498</v>
      </c>
      <c r="I523">
        <v>10498</v>
      </c>
      <c r="J523">
        <v>0</v>
      </c>
      <c r="K523">
        <v>0</v>
      </c>
      <c r="L523">
        <v>3763</v>
      </c>
      <c r="M523">
        <v>3405</v>
      </c>
      <c r="N523">
        <v>358</v>
      </c>
      <c r="O523">
        <v>192100</v>
      </c>
      <c r="P523">
        <v>3714</v>
      </c>
      <c r="Q523">
        <v>121</v>
      </c>
      <c r="R523">
        <v>1</v>
      </c>
      <c r="S523">
        <v>0</v>
      </c>
      <c r="T523" t="s">
        <v>3947</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3949</v>
      </c>
      <c r="B524">
        <v>1980</v>
      </c>
      <c r="C524" t="s">
        <v>173</v>
      </c>
      <c r="D524" t="s">
        <v>3950</v>
      </c>
      <c r="E524" t="str">
        <f t="shared" si="8"/>
        <v>City of Pine Grove</v>
      </c>
      <c r="F524">
        <v>2158</v>
      </c>
      <c r="G524" t="s">
        <v>3951</v>
      </c>
      <c r="H524">
        <v>1049</v>
      </c>
      <c r="I524">
        <v>1049</v>
      </c>
      <c r="J524">
        <v>0</v>
      </c>
      <c r="K524">
        <v>0</v>
      </c>
      <c r="L524">
        <v>374</v>
      </c>
      <c r="M524">
        <v>252</v>
      </c>
      <c r="N524">
        <v>122</v>
      </c>
      <c r="O524">
        <v>48100</v>
      </c>
      <c r="P524">
        <v>298</v>
      </c>
      <c r="Q524">
        <v>44</v>
      </c>
      <c r="R524">
        <v>0</v>
      </c>
      <c r="S524">
        <v>75</v>
      </c>
      <c r="T524" t="s">
        <v>3950</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3952</v>
      </c>
      <c r="B525">
        <v>1980</v>
      </c>
      <c r="C525" t="s">
        <v>173</v>
      </c>
      <c r="D525" t="s">
        <v>3953</v>
      </c>
      <c r="E525" t="str">
        <f t="shared" si="8"/>
        <v>City of Pine Hills</v>
      </c>
      <c r="F525">
        <v>2159</v>
      </c>
      <c r="G525" t="s">
        <v>3954</v>
      </c>
      <c r="H525">
        <v>2686</v>
      </c>
      <c r="I525">
        <v>0</v>
      </c>
      <c r="J525">
        <v>2686</v>
      </c>
      <c r="K525">
        <v>0</v>
      </c>
      <c r="L525">
        <v>1042</v>
      </c>
      <c r="M525">
        <v>751</v>
      </c>
      <c r="N525">
        <v>291</v>
      </c>
      <c r="O525">
        <v>57100</v>
      </c>
      <c r="P525">
        <v>808</v>
      </c>
      <c r="Q525">
        <v>86</v>
      </c>
      <c r="R525">
        <v>2</v>
      </c>
      <c r="S525">
        <v>186</v>
      </c>
      <c r="T525" t="s">
        <v>3953</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3955</v>
      </c>
      <c r="B526">
        <v>1980</v>
      </c>
      <c r="C526" t="s">
        <v>173</v>
      </c>
      <c r="D526" t="s">
        <v>940</v>
      </c>
      <c r="E526" t="str">
        <f t="shared" si="8"/>
        <v>City of Pinole</v>
      </c>
      <c r="F526">
        <v>2160</v>
      </c>
      <c r="G526" t="s">
        <v>3956</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3957</v>
      </c>
      <c r="B527">
        <v>1980</v>
      </c>
      <c r="C527" t="s">
        <v>173</v>
      </c>
      <c r="D527" t="s">
        <v>3958</v>
      </c>
      <c r="E527" t="str">
        <f t="shared" si="8"/>
        <v>City of Piru</v>
      </c>
      <c r="F527">
        <v>2166</v>
      </c>
      <c r="G527" t="s">
        <v>3959</v>
      </c>
      <c r="H527">
        <v>1284</v>
      </c>
      <c r="I527">
        <v>0</v>
      </c>
      <c r="J527">
        <v>0</v>
      </c>
      <c r="K527">
        <v>1284</v>
      </c>
      <c r="L527">
        <v>334</v>
      </c>
      <c r="M527">
        <v>186</v>
      </c>
      <c r="N527">
        <v>148</v>
      </c>
      <c r="O527">
        <v>40900</v>
      </c>
      <c r="P527">
        <v>277</v>
      </c>
      <c r="Q527">
        <v>48</v>
      </c>
      <c r="R527">
        <v>12</v>
      </c>
      <c r="S527">
        <v>14</v>
      </c>
      <c r="T527" t="s">
        <v>3958</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3960</v>
      </c>
      <c r="B528">
        <v>1980</v>
      </c>
      <c r="C528" t="s">
        <v>173</v>
      </c>
      <c r="D528" t="s">
        <v>942</v>
      </c>
      <c r="E528" t="str">
        <f t="shared" si="8"/>
        <v>City of Pismo Beach</v>
      </c>
      <c r="F528">
        <v>2170</v>
      </c>
      <c r="G528" t="s">
        <v>3961</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3962</v>
      </c>
      <c r="B529">
        <v>1980</v>
      </c>
      <c r="C529" t="s">
        <v>173</v>
      </c>
      <c r="D529" t="s">
        <v>944</v>
      </c>
      <c r="E529" t="str">
        <f t="shared" si="8"/>
        <v>City of Pittsburg</v>
      </c>
      <c r="F529">
        <v>2175</v>
      </c>
      <c r="G529" t="s">
        <v>3963</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3964</v>
      </c>
      <c r="B530">
        <v>1980</v>
      </c>
      <c r="C530" t="s">
        <v>173</v>
      </c>
      <c r="D530" t="s">
        <v>3965</v>
      </c>
      <c r="E530" t="str">
        <f t="shared" si="8"/>
        <v>City of Pixley</v>
      </c>
      <c r="F530">
        <v>2190</v>
      </c>
      <c r="G530" t="s">
        <v>3966</v>
      </c>
      <c r="H530">
        <v>2488</v>
      </c>
      <c r="I530">
        <v>0</v>
      </c>
      <c r="J530">
        <v>0</v>
      </c>
      <c r="K530">
        <v>2488</v>
      </c>
      <c r="L530">
        <v>759</v>
      </c>
      <c r="M530">
        <v>513</v>
      </c>
      <c r="N530">
        <v>246</v>
      </c>
      <c r="O530">
        <v>29300</v>
      </c>
      <c r="P530">
        <v>700</v>
      </c>
      <c r="Q530">
        <v>55</v>
      </c>
      <c r="R530">
        <v>37</v>
      </c>
      <c r="S530">
        <v>30</v>
      </c>
      <c r="T530" t="s">
        <v>3965</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3967</v>
      </c>
      <c r="B531">
        <v>1980</v>
      </c>
      <c r="C531" t="s">
        <v>173</v>
      </c>
      <c r="D531" t="s">
        <v>946</v>
      </c>
      <c r="E531" t="str">
        <f t="shared" si="8"/>
        <v>City of Placentia</v>
      </c>
      <c r="F531">
        <v>2195</v>
      </c>
      <c r="G531" t="s">
        <v>3968</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3969</v>
      </c>
      <c r="B532">
        <v>1980</v>
      </c>
      <c r="C532" t="s">
        <v>173</v>
      </c>
      <c r="D532" t="s">
        <v>948</v>
      </c>
      <c r="E532" t="str">
        <f t="shared" si="8"/>
        <v>City of Placerville</v>
      </c>
      <c r="F532">
        <v>2200</v>
      </c>
      <c r="G532" t="s">
        <v>3970</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3971</v>
      </c>
      <c r="B533">
        <v>1980</v>
      </c>
      <c r="C533" t="s">
        <v>173</v>
      </c>
      <c r="D533" t="s">
        <v>3972</v>
      </c>
      <c r="E533" t="str">
        <f t="shared" si="8"/>
        <v>City of Planada</v>
      </c>
      <c r="F533">
        <v>2205</v>
      </c>
      <c r="G533" t="s">
        <v>3973</v>
      </c>
      <c r="H533">
        <v>2406</v>
      </c>
      <c r="I533">
        <v>0</v>
      </c>
      <c r="J533">
        <v>0</v>
      </c>
      <c r="K533">
        <v>2406</v>
      </c>
      <c r="L533">
        <v>624</v>
      </c>
      <c r="M533">
        <v>380</v>
      </c>
      <c r="N533">
        <v>244</v>
      </c>
      <c r="O533">
        <v>30900</v>
      </c>
      <c r="P533">
        <v>574</v>
      </c>
      <c r="Q533">
        <v>69</v>
      </c>
      <c r="R533">
        <v>9</v>
      </c>
      <c r="S533">
        <v>12</v>
      </c>
      <c r="T533" t="s">
        <v>3972</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3974</v>
      </c>
      <c r="B534">
        <v>1980</v>
      </c>
      <c r="C534" t="s">
        <v>173</v>
      </c>
      <c r="D534" t="s">
        <v>950</v>
      </c>
      <c r="E534" t="str">
        <f t="shared" si="8"/>
        <v>City of Pleasant Hill</v>
      </c>
      <c r="F534">
        <v>2210</v>
      </c>
      <c r="G534" t="s">
        <v>3975</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3976</v>
      </c>
      <c r="B535">
        <v>1980</v>
      </c>
      <c r="C535" t="s">
        <v>173</v>
      </c>
      <c r="D535" t="s">
        <v>952</v>
      </c>
      <c r="E535" t="str">
        <f t="shared" si="8"/>
        <v>City of Pleasanton</v>
      </c>
      <c r="F535">
        <v>2215</v>
      </c>
      <c r="G535" t="s">
        <v>3977</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3978</v>
      </c>
      <c r="B536">
        <v>1980</v>
      </c>
      <c r="C536" t="s">
        <v>173</v>
      </c>
      <c r="D536" t="s">
        <v>954</v>
      </c>
      <c r="E536" t="str">
        <f t="shared" si="8"/>
        <v>City of Plymouth</v>
      </c>
      <c r="F536">
        <v>2220</v>
      </c>
      <c r="G536" t="s">
        <v>3979</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3980</v>
      </c>
      <c r="B537">
        <v>1980</v>
      </c>
      <c r="C537" t="s">
        <v>173</v>
      </c>
      <c r="D537" t="s">
        <v>956</v>
      </c>
      <c r="E537" t="str">
        <f t="shared" si="8"/>
        <v>City of Point Arena</v>
      </c>
      <c r="F537">
        <v>2223</v>
      </c>
      <c r="G537" t="s">
        <v>3981</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3982</v>
      </c>
      <c r="B538">
        <v>1980</v>
      </c>
      <c r="C538" t="s">
        <v>173</v>
      </c>
      <c r="D538" t="s">
        <v>3983</v>
      </c>
      <c r="E538" t="str">
        <f t="shared" si="8"/>
        <v>City of Point Dume</v>
      </c>
      <c r="F538">
        <v>2224</v>
      </c>
      <c r="G538" t="s">
        <v>3984</v>
      </c>
      <c r="H538">
        <v>2438</v>
      </c>
      <c r="I538">
        <v>0</v>
      </c>
      <c r="J538">
        <v>0</v>
      </c>
      <c r="K538">
        <v>2438</v>
      </c>
      <c r="L538">
        <v>931</v>
      </c>
      <c r="M538">
        <v>718</v>
      </c>
      <c r="N538">
        <v>213</v>
      </c>
      <c r="O538">
        <v>200100</v>
      </c>
      <c r="P538">
        <v>636</v>
      </c>
      <c r="Q538">
        <v>121</v>
      </c>
      <c r="R538">
        <v>64</v>
      </c>
      <c r="S538">
        <v>220</v>
      </c>
      <c r="T538" t="s">
        <v>3983</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3985</v>
      </c>
      <c r="B539">
        <v>1980</v>
      </c>
      <c r="C539" t="s">
        <v>173</v>
      </c>
      <c r="D539" t="s">
        <v>3986</v>
      </c>
      <c r="E539" t="str">
        <f t="shared" si="8"/>
        <v>City of Point Mugu</v>
      </c>
      <c r="F539">
        <v>2226</v>
      </c>
      <c r="G539" t="s">
        <v>3987</v>
      </c>
      <c r="H539">
        <v>2701</v>
      </c>
      <c r="I539">
        <v>0</v>
      </c>
      <c r="J539">
        <v>2701</v>
      </c>
      <c r="K539">
        <v>0</v>
      </c>
      <c r="L539">
        <v>550</v>
      </c>
      <c r="M539">
        <v>0</v>
      </c>
      <c r="N539">
        <v>550</v>
      </c>
      <c r="O539">
        <v>0</v>
      </c>
      <c r="P539">
        <v>497</v>
      </c>
      <c r="Q539">
        <v>73</v>
      </c>
      <c r="R539">
        <v>1</v>
      </c>
      <c r="S539">
        <v>0</v>
      </c>
      <c r="T539" t="s">
        <v>3986</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3988</v>
      </c>
      <c r="B540">
        <v>1980</v>
      </c>
      <c r="C540" t="s">
        <v>173</v>
      </c>
      <c r="D540" t="s">
        <v>3989</v>
      </c>
      <c r="E540" t="str">
        <f t="shared" si="8"/>
        <v>City of Pollock Pines</v>
      </c>
      <c r="F540">
        <v>2229</v>
      </c>
      <c r="G540" t="s">
        <v>3990</v>
      </c>
      <c r="H540">
        <v>1941</v>
      </c>
      <c r="I540">
        <v>0</v>
      </c>
      <c r="J540">
        <v>0</v>
      </c>
      <c r="K540">
        <v>1941</v>
      </c>
      <c r="L540">
        <v>860</v>
      </c>
      <c r="M540">
        <v>581</v>
      </c>
      <c r="N540">
        <v>279</v>
      </c>
      <c r="O540">
        <v>62900</v>
      </c>
      <c r="P540">
        <v>546</v>
      </c>
      <c r="Q540">
        <v>117</v>
      </c>
      <c r="R540">
        <v>31</v>
      </c>
      <c r="S540">
        <v>361</v>
      </c>
      <c r="T540" t="s">
        <v>3989</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3991</v>
      </c>
      <c r="B541">
        <v>1980</v>
      </c>
      <c r="C541" t="s">
        <v>173</v>
      </c>
      <c r="D541" t="s">
        <v>958</v>
      </c>
      <c r="E541" t="str">
        <f t="shared" si="8"/>
        <v>City of Pomona</v>
      </c>
      <c r="F541">
        <v>2230</v>
      </c>
      <c r="G541" t="s">
        <v>3992</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3993</v>
      </c>
      <c r="B542">
        <v>1980</v>
      </c>
      <c r="C542" t="s">
        <v>173</v>
      </c>
      <c r="D542" t="s">
        <v>3994</v>
      </c>
      <c r="E542" t="str">
        <f t="shared" si="8"/>
        <v>City of Poplar-Cotton Center</v>
      </c>
      <c r="F542">
        <v>2243</v>
      </c>
      <c r="G542" t="s">
        <v>3995</v>
      </c>
      <c r="H542">
        <v>1295</v>
      </c>
      <c r="I542">
        <v>0</v>
      </c>
      <c r="J542">
        <v>0</v>
      </c>
      <c r="K542">
        <v>1295</v>
      </c>
      <c r="L542">
        <v>389</v>
      </c>
      <c r="M542">
        <v>234</v>
      </c>
      <c r="N542">
        <v>155</v>
      </c>
      <c r="O542">
        <v>20800</v>
      </c>
      <c r="P542">
        <v>354</v>
      </c>
      <c r="Q542">
        <v>54</v>
      </c>
      <c r="R542">
        <v>0</v>
      </c>
      <c r="S542">
        <v>30</v>
      </c>
      <c r="T542" t="s">
        <v>3994</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3996</v>
      </c>
      <c r="B543">
        <v>1980</v>
      </c>
      <c r="C543" t="s">
        <v>173</v>
      </c>
      <c r="D543" t="s">
        <v>962</v>
      </c>
      <c r="E543" t="str">
        <f t="shared" si="8"/>
        <v>City of Porterville</v>
      </c>
      <c r="F543">
        <v>2245</v>
      </c>
      <c r="G543" t="s">
        <v>3997</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3998</v>
      </c>
      <c r="B544">
        <v>1980</v>
      </c>
      <c r="C544" t="s">
        <v>173</v>
      </c>
      <c r="D544" t="s">
        <v>960</v>
      </c>
      <c r="E544" t="str">
        <f t="shared" si="8"/>
        <v>City of Port Hueneme</v>
      </c>
      <c r="F544">
        <v>2250</v>
      </c>
      <c r="G544" t="s">
        <v>3999</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4000</v>
      </c>
      <c r="B545">
        <v>1980</v>
      </c>
      <c r="C545" t="s">
        <v>173</v>
      </c>
      <c r="D545" t="s">
        <v>964</v>
      </c>
      <c r="E545" t="str">
        <f t="shared" si="8"/>
        <v>City of Portola</v>
      </c>
      <c r="F545">
        <v>2255</v>
      </c>
      <c r="G545" t="s">
        <v>4001</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4002</v>
      </c>
      <c r="B546">
        <v>1980</v>
      </c>
      <c r="C546" t="s">
        <v>173</v>
      </c>
      <c r="D546" t="s">
        <v>966</v>
      </c>
      <c r="E546" t="str">
        <f t="shared" si="8"/>
        <v>City of Portola Valley</v>
      </c>
      <c r="F546">
        <v>2257</v>
      </c>
      <c r="G546" t="s">
        <v>4003</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4004</v>
      </c>
      <c r="B547">
        <v>1980</v>
      </c>
      <c r="C547" t="s">
        <v>173</v>
      </c>
      <c r="D547" t="s">
        <v>968</v>
      </c>
      <c r="E547" t="str">
        <f t="shared" si="8"/>
        <v>City of Poway</v>
      </c>
      <c r="F547">
        <v>2260</v>
      </c>
      <c r="G547" t="s">
        <v>4005</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4006</v>
      </c>
      <c r="B548">
        <v>1980</v>
      </c>
      <c r="C548" t="s">
        <v>173</v>
      </c>
      <c r="D548" t="s">
        <v>4007</v>
      </c>
      <c r="E548" t="str">
        <f t="shared" si="8"/>
        <v>City of Project City</v>
      </c>
      <c r="F548">
        <v>2262</v>
      </c>
      <c r="G548" t="s">
        <v>4008</v>
      </c>
      <c r="H548">
        <v>1657</v>
      </c>
      <c r="I548">
        <v>1657</v>
      </c>
      <c r="J548">
        <v>0</v>
      </c>
      <c r="K548">
        <v>0</v>
      </c>
      <c r="L548">
        <v>645</v>
      </c>
      <c r="M548">
        <v>387</v>
      </c>
      <c r="N548">
        <v>258</v>
      </c>
      <c r="O548">
        <v>41400</v>
      </c>
      <c r="P548">
        <v>519</v>
      </c>
      <c r="Q548">
        <v>113</v>
      </c>
      <c r="R548">
        <v>13</v>
      </c>
      <c r="S548">
        <v>84</v>
      </c>
      <c r="T548" t="s">
        <v>4007</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4009</v>
      </c>
      <c r="B549">
        <v>1980</v>
      </c>
      <c r="C549" t="s">
        <v>173</v>
      </c>
      <c r="D549" t="s">
        <v>4010</v>
      </c>
      <c r="E549" t="str">
        <f t="shared" si="8"/>
        <v>City of Quartz Hill</v>
      </c>
      <c r="F549">
        <v>2265</v>
      </c>
      <c r="G549" t="s">
        <v>4011</v>
      </c>
      <c r="H549">
        <v>7421</v>
      </c>
      <c r="I549">
        <v>7421</v>
      </c>
      <c r="J549">
        <v>0</v>
      </c>
      <c r="K549">
        <v>0</v>
      </c>
      <c r="L549">
        <v>2490</v>
      </c>
      <c r="M549">
        <v>2010</v>
      </c>
      <c r="N549">
        <v>480</v>
      </c>
      <c r="O549">
        <v>74800</v>
      </c>
      <c r="P549">
        <v>2148</v>
      </c>
      <c r="Q549">
        <v>119</v>
      </c>
      <c r="R549">
        <v>99</v>
      </c>
      <c r="S549">
        <v>284</v>
      </c>
      <c r="T549" t="s">
        <v>4010</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4012</v>
      </c>
      <c r="B550">
        <v>1980</v>
      </c>
      <c r="C550" t="s">
        <v>173</v>
      </c>
      <c r="D550" t="s">
        <v>4013</v>
      </c>
      <c r="E550" t="str">
        <f t="shared" si="8"/>
        <v>City of Quincy-East Quincy</v>
      </c>
      <c r="F550">
        <v>2270</v>
      </c>
      <c r="G550" t="s">
        <v>4014</v>
      </c>
      <c r="H550">
        <v>4451</v>
      </c>
      <c r="I550">
        <v>0</v>
      </c>
      <c r="J550">
        <v>4451</v>
      </c>
      <c r="K550">
        <v>0</v>
      </c>
      <c r="L550">
        <v>1660</v>
      </c>
      <c r="M550">
        <v>1027</v>
      </c>
      <c r="N550">
        <v>633</v>
      </c>
      <c r="O550">
        <v>64800</v>
      </c>
      <c r="P550">
        <v>1135</v>
      </c>
      <c r="Q550">
        <v>284</v>
      </c>
      <c r="R550">
        <v>59</v>
      </c>
      <c r="S550">
        <v>322</v>
      </c>
      <c r="T550" t="s">
        <v>4013</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4015</v>
      </c>
      <c r="B551">
        <v>1980</v>
      </c>
      <c r="C551" t="s">
        <v>173</v>
      </c>
      <c r="D551" t="s">
        <v>4016</v>
      </c>
      <c r="E551" t="str">
        <f t="shared" si="8"/>
        <v>City of Rainbow</v>
      </c>
      <c r="F551">
        <v>2273</v>
      </c>
      <c r="G551" t="s">
        <v>4017</v>
      </c>
      <c r="H551">
        <v>1092</v>
      </c>
      <c r="I551">
        <v>0</v>
      </c>
      <c r="J551">
        <v>0</v>
      </c>
      <c r="K551">
        <v>1092</v>
      </c>
      <c r="L551">
        <v>245</v>
      </c>
      <c r="M551">
        <v>155</v>
      </c>
      <c r="N551">
        <v>90</v>
      </c>
      <c r="O551">
        <v>96100</v>
      </c>
      <c r="P551">
        <v>228</v>
      </c>
      <c r="Q551">
        <v>29</v>
      </c>
      <c r="R551">
        <v>3</v>
      </c>
      <c r="S551">
        <v>11</v>
      </c>
      <c r="T551" t="s">
        <v>4016</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4018</v>
      </c>
      <c r="B552">
        <v>1980</v>
      </c>
      <c r="C552" t="s">
        <v>173</v>
      </c>
      <c r="D552" t="s">
        <v>4019</v>
      </c>
      <c r="E552" t="str">
        <f t="shared" si="8"/>
        <v>City of Ramona</v>
      </c>
      <c r="F552">
        <v>2275</v>
      </c>
      <c r="G552" t="s">
        <v>4020</v>
      </c>
      <c r="H552">
        <v>8173</v>
      </c>
      <c r="I552">
        <v>0</v>
      </c>
      <c r="J552">
        <v>8173</v>
      </c>
      <c r="K552">
        <v>0</v>
      </c>
      <c r="L552">
        <v>2671</v>
      </c>
      <c r="M552">
        <v>1918</v>
      </c>
      <c r="N552">
        <v>753</v>
      </c>
      <c r="O552">
        <v>87200</v>
      </c>
      <c r="P552">
        <v>2263</v>
      </c>
      <c r="Q552">
        <v>199</v>
      </c>
      <c r="R552">
        <v>152</v>
      </c>
      <c r="S552">
        <v>203</v>
      </c>
      <c r="T552" t="s">
        <v>4019</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4021</v>
      </c>
      <c r="B553">
        <v>1980</v>
      </c>
      <c r="C553" t="s">
        <v>173</v>
      </c>
      <c r="D553" t="s">
        <v>970</v>
      </c>
      <c r="E553" t="str">
        <f t="shared" si="8"/>
        <v>City of Rancho Cordova</v>
      </c>
      <c r="F553">
        <v>2277</v>
      </c>
      <c r="G553" t="s">
        <v>4022</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4023</v>
      </c>
      <c r="B554">
        <v>1980</v>
      </c>
      <c r="C554" t="s">
        <v>173</v>
      </c>
      <c r="D554" t="s">
        <v>972</v>
      </c>
      <c r="E554" t="str">
        <f t="shared" si="8"/>
        <v>City of Rancho Cucamonga</v>
      </c>
      <c r="F554">
        <v>2278</v>
      </c>
      <c r="G554" t="s">
        <v>4024</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4025</v>
      </c>
      <c r="B555">
        <v>1980</v>
      </c>
      <c r="C555" t="s">
        <v>173</v>
      </c>
      <c r="D555" t="s">
        <v>974</v>
      </c>
      <c r="E555" t="str">
        <f t="shared" si="8"/>
        <v>City of Rancho Mirage</v>
      </c>
      <c r="F555">
        <v>2281</v>
      </c>
      <c r="G555" t="s">
        <v>4026</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4027</v>
      </c>
      <c r="B556">
        <v>1980</v>
      </c>
      <c r="C556" t="s">
        <v>173</v>
      </c>
      <c r="D556" t="s">
        <v>976</v>
      </c>
      <c r="E556" t="str">
        <f t="shared" si="8"/>
        <v>City of Rancho Palos Verdes</v>
      </c>
      <c r="F556">
        <v>2284</v>
      </c>
      <c r="G556" t="s">
        <v>4028</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4029</v>
      </c>
      <c r="B557">
        <v>1980</v>
      </c>
      <c r="C557" t="s">
        <v>173</v>
      </c>
      <c r="D557" t="s">
        <v>4030</v>
      </c>
      <c r="E557" t="str">
        <f t="shared" si="8"/>
        <v>City of Rancho Santa Fe</v>
      </c>
      <c r="F557">
        <v>2287</v>
      </c>
      <c r="G557" t="s">
        <v>4031</v>
      </c>
      <c r="H557">
        <v>4014</v>
      </c>
      <c r="I557">
        <v>0</v>
      </c>
      <c r="J557">
        <v>4014</v>
      </c>
      <c r="K557">
        <v>0</v>
      </c>
      <c r="L557">
        <v>1398</v>
      </c>
      <c r="M557">
        <v>1286</v>
      </c>
      <c r="N557">
        <v>112</v>
      </c>
      <c r="O557">
        <v>200100</v>
      </c>
      <c r="P557">
        <v>1486</v>
      </c>
      <c r="Q557">
        <v>46</v>
      </c>
      <c r="R557">
        <v>1</v>
      </c>
      <c r="S557">
        <v>4</v>
      </c>
      <c r="T557" t="s">
        <v>4030</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4032</v>
      </c>
      <c r="B558">
        <v>1980</v>
      </c>
      <c r="C558" t="s">
        <v>173</v>
      </c>
      <c r="D558" t="s">
        <v>980</v>
      </c>
      <c r="E558" t="str">
        <f t="shared" si="8"/>
        <v>City of Red Bluff</v>
      </c>
      <c r="F558">
        <v>2288</v>
      </c>
      <c r="G558" t="s">
        <v>4033</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4034</v>
      </c>
      <c r="B559">
        <v>1980</v>
      </c>
      <c r="C559" t="s">
        <v>173</v>
      </c>
      <c r="D559" t="s">
        <v>982</v>
      </c>
      <c r="E559" t="str">
        <f t="shared" si="8"/>
        <v>City of Redding</v>
      </c>
      <c r="F559">
        <v>2290</v>
      </c>
      <c r="G559" t="s">
        <v>4035</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4036</v>
      </c>
      <c r="B560">
        <v>1980</v>
      </c>
      <c r="C560" t="s">
        <v>173</v>
      </c>
      <c r="D560" t="s">
        <v>984</v>
      </c>
      <c r="E560" t="str">
        <f t="shared" si="8"/>
        <v>City of Redlands</v>
      </c>
      <c r="F560">
        <v>2295</v>
      </c>
      <c r="G560" t="s">
        <v>4037</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4038</v>
      </c>
      <c r="B561">
        <v>1980</v>
      </c>
      <c r="C561" t="s">
        <v>173</v>
      </c>
      <c r="D561" t="s">
        <v>986</v>
      </c>
      <c r="E561" t="str">
        <f t="shared" si="8"/>
        <v>City of Redondo Beach</v>
      </c>
      <c r="F561">
        <v>2300</v>
      </c>
      <c r="G561" t="s">
        <v>4039</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4040</v>
      </c>
      <c r="B562">
        <v>1980</v>
      </c>
      <c r="C562" t="s">
        <v>173</v>
      </c>
      <c r="D562" t="s">
        <v>4041</v>
      </c>
      <c r="E562" t="str">
        <f t="shared" si="8"/>
        <v>City of Redway</v>
      </c>
      <c r="F562">
        <v>2303</v>
      </c>
      <c r="G562" t="s">
        <v>4042</v>
      </c>
      <c r="H562">
        <v>1094</v>
      </c>
      <c r="I562">
        <v>0</v>
      </c>
      <c r="J562">
        <v>0</v>
      </c>
      <c r="K562">
        <v>1094</v>
      </c>
      <c r="L562">
        <v>444</v>
      </c>
      <c r="M562">
        <v>303</v>
      </c>
      <c r="N562">
        <v>141</v>
      </c>
      <c r="O562">
        <v>58300</v>
      </c>
      <c r="P562">
        <v>371</v>
      </c>
      <c r="Q562">
        <v>32</v>
      </c>
      <c r="R562">
        <v>1</v>
      </c>
      <c r="S562">
        <v>68</v>
      </c>
      <c r="T562" t="s">
        <v>4041</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4043</v>
      </c>
      <c r="B563">
        <v>1980</v>
      </c>
      <c r="C563" t="s">
        <v>173</v>
      </c>
      <c r="D563" t="s">
        <v>988</v>
      </c>
      <c r="E563" t="str">
        <f t="shared" si="8"/>
        <v>City of Redwood City</v>
      </c>
      <c r="F563">
        <v>2305</v>
      </c>
      <c r="G563" t="s">
        <v>4044</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4045</v>
      </c>
      <c r="B564">
        <v>1980</v>
      </c>
      <c r="C564" t="s">
        <v>173</v>
      </c>
      <c r="D564" t="s">
        <v>990</v>
      </c>
      <c r="E564" t="str">
        <f t="shared" si="8"/>
        <v>City of Reedley</v>
      </c>
      <c r="F564">
        <v>2315</v>
      </c>
      <c r="G564" t="s">
        <v>4046</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4047</v>
      </c>
      <c r="B565">
        <v>1980</v>
      </c>
      <c r="C565" t="s">
        <v>173</v>
      </c>
      <c r="D565" t="s">
        <v>992</v>
      </c>
      <c r="E565" t="str">
        <f t="shared" si="8"/>
        <v>City of Rialto</v>
      </c>
      <c r="F565">
        <v>2320</v>
      </c>
      <c r="G565" t="s">
        <v>4048</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4049</v>
      </c>
      <c r="B566">
        <v>1980</v>
      </c>
      <c r="C566" t="s">
        <v>173</v>
      </c>
      <c r="D566" t="s">
        <v>4050</v>
      </c>
      <c r="E566" t="str">
        <f t="shared" si="8"/>
        <v>City of Richgrove</v>
      </c>
      <c r="F566">
        <v>2325</v>
      </c>
      <c r="G566" t="s">
        <v>4051</v>
      </c>
      <c r="H566">
        <v>1398</v>
      </c>
      <c r="I566">
        <v>0</v>
      </c>
      <c r="J566">
        <v>0</v>
      </c>
      <c r="K566">
        <v>1398</v>
      </c>
      <c r="L566">
        <v>333</v>
      </c>
      <c r="M566">
        <v>190</v>
      </c>
      <c r="N566">
        <v>143</v>
      </c>
      <c r="O566">
        <v>22300</v>
      </c>
      <c r="P566">
        <v>232</v>
      </c>
      <c r="Q566">
        <v>100</v>
      </c>
      <c r="R566">
        <v>12</v>
      </c>
      <c r="S566">
        <v>27</v>
      </c>
      <c r="T566" t="s">
        <v>4050</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4052</v>
      </c>
      <c r="B567">
        <v>1980</v>
      </c>
      <c r="C567" t="s">
        <v>173</v>
      </c>
      <c r="D567" t="s">
        <v>994</v>
      </c>
      <c r="E567" t="str">
        <f t="shared" si="8"/>
        <v>City of Richmond</v>
      </c>
      <c r="F567">
        <v>2330</v>
      </c>
      <c r="G567" t="s">
        <v>4053</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4054</v>
      </c>
      <c r="B568">
        <v>1980</v>
      </c>
      <c r="C568" t="s">
        <v>173</v>
      </c>
      <c r="D568" t="s">
        <v>996</v>
      </c>
      <c r="E568" t="str">
        <f t="shared" si="8"/>
        <v>City of Ridgecrest</v>
      </c>
      <c r="F568">
        <v>2335</v>
      </c>
      <c r="G568" t="s">
        <v>4055</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4056</v>
      </c>
      <c r="B569">
        <v>1980</v>
      </c>
      <c r="C569" t="s">
        <v>173</v>
      </c>
      <c r="D569" t="s">
        <v>998</v>
      </c>
      <c r="E569" t="str">
        <f t="shared" si="8"/>
        <v>City of Rio Dell</v>
      </c>
      <c r="F569">
        <v>2337</v>
      </c>
      <c r="G569" t="s">
        <v>4057</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4058</v>
      </c>
      <c r="B570">
        <v>1980</v>
      </c>
      <c r="C570" t="s">
        <v>173</v>
      </c>
      <c r="D570" t="s">
        <v>4059</v>
      </c>
      <c r="E570" t="str">
        <f t="shared" si="8"/>
        <v>City of Rio Del Mar</v>
      </c>
      <c r="F570">
        <v>2340</v>
      </c>
      <c r="G570" t="s">
        <v>4060</v>
      </c>
      <c r="H570">
        <v>7067</v>
      </c>
      <c r="I570">
        <v>7067</v>
      </c>
      <c r="J570">
        <v>0</v>
      </c>
      <c r="K570">
        <v>0</v>
      </c>
      <c r="L570">
        <v>2819</v>
      </c>
      <c r="M570">
        <v>1974</v>
      </c>
      <c r="N570">
        <v>845</v>
      </c>
      <c r="O570">
        <v>135200</v>
      </c>
      <c r="P570">
        <v>3161</v>
      </c>
      <c r="Q570">
        <v>173</v>
      </c>
      <c r="R570">
        <v>33</v>
      </c>
      <c r="S570">
        <v>1</v>
      </c>
      <c r="T570" t="s">
        <v>4059</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4061</v>
      </c>
      <c r="B571">
        <v>1980</v>
      </c>
      <c r="C571" t="s">
        <v>173</v>
      </c>
      <c r="D571" t="s">
        <v>4062</v>
      </c>
      <c r="E571" t="str">
        <f t="shared" si="8"/>
        <v>City of Rio Linda</v>
      </c>
      <c r="F571">
        <v>2345</v>
      </c>
      <c r="G571" t="s">
        <v>4063</v>
      </c>
      <c r="H571">
        <v>7359</v>
      </c>
      <c r="I571">
        <v>7359</v>
      </c>
      <c r="J571">
        <v>0</v>
      </c>
      <c r="K571">
        <v>0</v>
      </c>
      <c r="L571">
        <v>2354</v>
      </c>
      <c r="M571">
        <v>1834</v>
      </c>
      <c r="N571">
        <v>520</v>
      </c>
      <c r="O571">
        <v>47000</v>
      </c>
      <c r="P571">
        <v>2249</v>
      </c>
      <c r="Q571">
        <v>134</v>
      </c>
      <c r="R571">
        <v>24</v>
      </c>
      <c r="S571">
        <v>52</v>
      </c>
      <c r="T571" t="s">
        <v>4062</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4064</v>
      </c>
      <c r="B572">
        <v>1980</v>
      </c>
      <c r="C572" t="s">
        <v>173</v>
      </c>
      <c r="D572" t="s">
        <v>1000</v>
      </c>
      <c r="E572" t="str">
        <f t="shared" si="8"/>
        <v>City of Rio Vista</v>
      </c>
      <c r="F572">
        <v>2350</v>
      </c>
      <c r="G572" t="s">
        <v>4065</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4066</v>
      </c>
      <c r="B573">
        <v>1980</v>
      </c>
      <c r="C573" t="s">
        <v>173</v>
      </c>
      <c r="D573" t="s">
        <v>1002</v>
      </c>
      <c r="E573" t="str">
        <f t="shared" si="8"/>
        <v>City of Ripon</v>
      </c>
      <c r="F573">
        <v>2355</v>
      </c>
      <c r="G573" t="s">
        <v>4067</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4068</v>
      </c>
      <c r="B574">
        <v>1980</v>
      </c>
      <c r="C574" t="s">
        <v>173</v>
      </c>
      <c r="D574" t="s">
        <v>1004</v>
      </c>
      <c r="E574" t="str">
        <f t="shared" si="8"/>
        <v>City of Riverbank</v>
      </c>
      <c r="F574">
        <v>2360</v>
      </c>
      <c r="G574" t="s">
        <v>4069</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4070</v>
      </c>
      <c r="B575">
        <v>1980</v>
      </c>
      <c r="C575" t="s">
        <v>173</v>
      </c>
      <c r="D575" t="s">
        <v>4071</v>
      </c>
      <c r="E575" t="str">
        <f t="shared" si="8"/>
        <v>City of Riverdale</v>
      </c>
      <c r="F575">
        <v>2365</v>
      </c>
      <c r="G575" t="s">
        <v>4072</v>
      </c>
      <c r="H575">
        <v>1866</v>
      </c>
      <c r="I575">
        <v>0</v>
      </c>
      <c r="J575">
        <v>0</v>
      </c>
      <c r="K575">
        <v>1866</v>
      </c>
      <c r="L575">
        <v>634</v>
      </c>
      <c r="M575">
        <v>416</v>
      </c>
      <c r="N575">
        <v>218</v>
      </c>
      <c r="O575">
        <v>43600</v>
      </c>
      <c r="P575">
        <v>589</v>
      </c>
      <c r="Q575">
        <v>52</v>
      </c>
      <c r="R575">
        <v>8</v>
      </c>
      <c r="S575">
        <v>9</v>
      </c>
      <c r="T575" t="s">
        <v>4071</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4073</v>
      </c>
      <c r="B576">
        <v>1980</v>
      </c>
      <c r="C576" t="s">
        <v>173</v>
      </c>
      <c r="D576" t="s">
        <v>1006</v>
      </c>
      <c r="E576" t="str">
        <f t="shared" si="8"/>
        <v>City of Riverside</v>
      </c>
      <c r="F576">
        <v>2370</v>
      </c>
      <c r="G576" t="s">
        <v>4074</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4075</v>
      </c>
      <c r="B577">
        <v>1980</v>
      </c>
      <c r="C577" t="s">
        <v>173</v>
      </c>
      <c r="D577" t="s">
        <v>1008</v>
      </c>
      <c r="E577" t="str">
        <f t="shared" si="8"/>
        <v>City of Rocklin</v>
      </c>
      <c r="F577">
        <v>2375</v>
      </c>
      <c r="G577" t="s">
        <v>4076</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4077</v>
      </c>
      <c r="B578">
        <v>1980</v>
      </c>
      <c r="C578" t="s">
        <v>173</v>
      </c>
      <c r="D578" t="s">
        <v>4078</v>
      </c>
      <c r="E578" t="str">
        <f t="shared" si="8"/>
        <v>City of Rodeo</v>
      </c>
      <c r="F578">
        <v>2376</v>
      </c>
      <c r="G578" t="s">
        <v>4079</v>
      </c>
      <c r="H578">
        <v>8286</v>
      </c>
      <c r="I578">
        <v>8286</v>
      </c>
      <c r="J578">
        <v>0</v>
      </c>
      <c r="K578">
        <v>0</v>
      </c>
      <c r="L578">
        <v>2822</v>
      </c>
      <c r="M578">
        <v>1960</v>
      </c>
      <c r="N578">
        <v>862</v>
      </c>
      <c r="O578">
        <v>87600</v>
      </c>
      <c r="P578">
        <v>2630</v>
      </c>
      <c r="Q578">
        <v>242</v>
      </c>
      <c r="R578">
        <v>32</v>
      </c>
      <c r="S578">
        <v>26</v>
      </c>
      <c r="T578" t="s">
        <v>4078</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4080</v>
      </c>
      <c r="B579">
        <v>1980</v>
      </c>
      <c r="C579" t="s">
        <v>173</v>
      </c>
      <c r="D579" t="s">
        <v>1010</v>
      </c>
      <c r="E579" t="str">
        <f t="shared" si="8"/>
        <v>City of Rohnert Park</v>
      </c>
      <c r="F579">
        <v>2377</v>
      </c>
      <c r="G579" t="s">
        <v>4081</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4082</v>
      </c>
      <c r="B580">
        <v>1980</v>
      </c>
      <c r="C580" t="s">
        <v>173</v>
      </c>
      <c r="D580" t="s">
        <v>4083</v>
      </c>
      <c r="E580" t="str">
        <f t="shared" si="8"/>
        <v>City of Rolling Hills</v>
      </c>
      <c r="F580">
        <v>2385</v>
      </c>
      <c r="G580" t="s">
        <v>4084</v>
      </c>
      <c r="H580">
        <v>2049</v>
      </c>
      <c r="I580">
        <v>2049</v>
      </c>
      <c r="J580">
        <v>0</v>
      </c>
      <c r="K580">
        <v>0</v>
      </c>
      <c r="L580">
        <v>629</v>
      </c>
      <c r="M580">
        <v>617</v>
      </c>
      <c r="N580">
        <v>12</v>
      </c>
      <c r="O580">
        <v>200100</v>
      </c>
      <c r="P580">
        <v>638</v>
      </c>
      <c r="Q580">
        <v>10</v>
      </c>
      <c r="R580">
        <v>0</v>
      </c>
      <c r="S580">
        <v>0</v>
      </c>
      <c r="T580" t="s">
        <v>4083</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4085</v>
      </c>
      <c r="B581">
        <v>1980</v>
      </c>
      <c r="C581" t="s">
        <v>173</v>
      </c>
      <c r="D581" t="s">
        <v>4086</v>
      </c>
      <c r="E581" t="str">
        <f t="shared" ref="E581:E644" si="9">_xlfn.CONCAT("City of ",D581)</f>
        <v>City of Rolling Hills Estates</v>
      </c>
      <c r="F581">
        <v>2390</v>
      </c>
      <c r="G581" t="s">
        <v>4087</v>
      </c>
      <c r="H581">
        <v>7701</v>
      </c>
      <c r="I581">
        <v>7701</v>
      </c>
      <c r="J581">
        <v>0</v>
      </c>
      <c r="K581">
        <v>0</v>
      </c>
      <c r="L581">
        <v>2547</v>
      </c>
      <c r="M581">
        <v>2355</v>
      </c>
      <c r="N581">
        <v>192</v>
      </c>
      <c r="O581">
        <v>200100</v>
      </c>
      <c r="P581">
        <v>2582</v>
      </c>
      <c r="Q581">
        <v>23</v>
      </c>
      <c r="R581">
        <v>6</v>
      </c>
      <c r="S581">
        <v>1</v>
      </c>
      <c r="T581" t="s">
        <v>4086</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4088</v>
      </c>
      <c r="B582">
        <v>1980</v>
      </c>
      <c r="C582" t="s">
        <v>173</v>
      </c>
      <c r="D582" t="s">
        <v>4089</v>
      </c>
      <c r="E582" t="str">
        <f t="shared" si="9"/>
        <v>City of Romoland</v>
      </c>
      <c r="F582">
        <v>2391</v>
      </c>
      <c r="G582" t="s">
        <v>4090</v>
      </c>
      <c r="H582">
        <v>1349</v>
      </c>
      <c r="I582">
        <v>0</v>
      </c>
      <c r="J582">
        <v>0</v>
      </c>
      <c r="K582">
        <v>1349</v>
      </c>
      <c r="L582">
        <v>519</v>
      </c>
      <c r="M582">
        <v>427</v>
      </c>
      <c r="N582">
        <v>92</v>
      </c>
      <c r="O582">
        <v>43600</v>
      </c>
      <c r="P582">
        <v>295</v>
      </c>
      <c r="Q582">
        <v>28</v>
      </c>
      <c r="R582">
        <v>7</v>
      </c>
      <c r="S582">
        <v>248</v>
      </c>
      <c r="T582" t="s">
        <v>4089</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4091</v>
      </c>
      <c r="B583">
        <v>1980</v>
      </c>
      <c r="C583" t="s">
        <v>173</v>
      </c>
      <c r="D583" t="s">
        <v>4092</v>
      </c>
      <c r="E583" t="str">
        <f t="shared" si="9"/>
        <v>City of Rosamond</v>
      </c>
      <c r="F583">
        <v>2392</v>
      </c>
      <c r="G583" t="s">
        <v>4093</v>
      </c>
      <c r="H583">
        <v>2869</v>
      </c>
      <c r="I583">
        <v>0</v>
      </c>
      <c r="J583">
        <v>2869</v>
      </c>
      <c r="K583">
        <v>0</v>
      </c>
      <c r="L583">
        <v>1100</v>
      </c>
      <c r="M583">
        <v>675</v>
      </c>
      <c r="N583">
        <v>425</v>
      </c>
      <c r="O583">
        <v>45800</v>
      </c>
      <c r="P583">
        <v>827</v>
      </c>
      <c r="Q583">
        <v>83</v>
      </c>
      <c r="R583">
        <v>104</v>
      </c>
      <c r="S583">
        <v>306</v>
      </c>
      <c r="T583" t="s">
        <v>4092</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4094</v>
      </c>
      <c r="B584">
        <v>1980</v>
      </c>
      <c r="C584" t="s">
        <v>173</v>
      </c>
      <c r="D584" t="s">
        <v>4095</v>
      </c>
      <c r="E584" t="str">
        <f t="shared" si="9"/>
        <v>City of Roseland</v>
      </c>
      <c r="F584">
        <v>2395</v>
      </c>
      <c r="G584" t="s">
        <v>4096</v>
      </c>
      <c r="H584">
        <v>7915</v>
      </c>
      <c r="I584">
        <v>7915</v>
      </c>
      <c r="J584">
        <v>0</v>
      </c>
      <c r="K584">
        <v>0</v>
      </c>
      <c r="L584">
        <v>2838</v>
      </c>
      <c r="M584">
        <v>1380</v>
      </c>
      <c r="N584">
        <v>1458</v>
      </c>
      <c r="O584">
        <v>64500</v>
      </c>
      <c r="P584">
        <v>2208</v>
      </c>
      <c r="Q584">
        <v>411</v>
      </c>
      <c r="R584">
        <v>230</v>
      </c>
      <c r="S584">
        <v>51</v>
      </c>
      <c r="T584" t="s">
        <v>4095</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4097</v>
      </c>
      <c r="B585">
        <v>1980</v>
      </c>
      <c r="C585" t="s">
        <v>173</v>
      </c>
      <c r="D585" t="s">
        <v>1012</v>
      </c>
      <c r="E585" t="str">
        <f t="shared" si="9"/>
        <v>City of Rosemead</v>
      </c>
      <c r="F585">
        <v>2400</v>
      </c>
      <c r="G585" t="s">
        <v>4098</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4099</v>
      </c>
      <c r="B586">
        <v>1980</v>
      </c>
      <c r="C586" t="s">
        <v>173</v>
      </c>
      <c r="D586" t="s">
        <v>4100</v>
      </c>
      <c r="E586" t="str">
        <f t="shared" si="9"/>
        <v>City of Rosemont</v>
      </c>
      <c r="F586">
        <v>2402</v>
      </c>
      <c r="G586" t="s">
        <v>4101</v>
      </c>
      <c r="H586">
        <v>18888</v>
      </c>
      <c r="I586">
        <v>18888</v>
      </c>
      <c r="J586">
        <v>0</v>
      </c>
      <c r="K586">
        <v>0</v>
      </c>
      <c r="L586">
        <v>6505</v>
      </c>
      <c r="M586">
        <v>4535</v>
      </c>
      <c r="N586">
        <v>1970</v>
      </c>
      <c r="O586">
        <v>67200</v>
      </c>
      <c r="P586">
        <v>5707</v>
      </c>
      <c r="Q586">
        <v>899</v>
      </c>
      <c r="R586">
        <v>452</v>
      </c>
      <c r="S586">
        <v>2</v>
      </c>
      <c r="T586" t="s">
        <v>4100</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4102</v>
      </c>
      <c r="B587">
        <v>1980</v>
      </c>
      <c r="C587" t="s">
        <v>173</v>
      </c>
      <c r="D587" t="s">
        <v>1014</v>
      </c>
      <c r="E587" t="str">
        <f t="shared" si="9"/>
        <v>City of Roseville</v>
      </c>
      <c r="F587">
        <v>2405</v>
      </c>
      <c r="G587" t="s">
        <v>4103</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4104</v>
      </c>
      <c r="B588">
        <v>1980</v>
      </c>
      <c r="C588" t="s">
        <v>173</v>
      </c>
      <c r="D588" t="s">
        <v>1016</v>
      </c>
      <c r="E588" t="str">
        <f t="shared" si="9"/>
        <v>City of Ross</v>
      </c>
      <c r="F588">
        <v>2410</v>
      </c>
      <c r="G588" t="s">
        <v>4105</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4106</v>
      </c>
      <c r="B589">
        <v>1980</v>
      </c>
      <c r="C589" t="s">
        <v>173</v>
      </c>
      <c r="D589" t="s">
        <v>4107</v>
      </c>
      <c r="E589" t="str">
        <f t="shared" si="9"/>
        <v>City of Rossmoor</v>
      </c>
      <c r="F589">
        <v>2411</v>
      </c>
      <c r="G589" t="s">
        <v>4108</v>
      </c>
      <c r="H589">
        <v>10457</v>
      </c>
      <c r="I589">
        <v>10457</v>
      </c>
      <c r="J589">
        <v>0</v>
      </c>
      <c r="K589">
        <v>0</v>
      </c>
      <c r="L589">
        <v>3608</v>
      </c>
      <c r="M589">
        <v>3206</v>
      </c>
      <c r="N589">
        <v>402</v>
      </c>
      <c r="O589">
        <v>127400</v>
      </c>
      <c r="P589">
        <v>3437</v>
      </c>
      <c r="Q589">
        <v>32</v>
      </c>
      <c r="R589">
        <v>188</v>
      </c>
      <c r="S589">
        <v>0</v>
      </c>
      <c r="T589" t="s">
        <v>4107</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4109</v>
      </c>
      <c r="B590">
        <v>1980</v>
      </c>
      <c r="C590" t="s">
        <v>173</v>
      </c>
      <c r="D590" t="s">
        <v>4110</v>
      </c>
      <c r="E590" t="str">
        <f t="shared" si="9"/>
        <v>City of Rowland Heights</v>
      </c>
      <c r="F590">
        <v>2412</v>
      </c>
      <c r="G590" t="s">
        <v>4111</v>
      </c>
      <c r="H590">
        <v>28252</v>
      </c>
      <c r="I590">
        <v>28252</v>
      </c>
      <c r="J590">
        <v>0</v>
      </c>
      <c r="K590">
        <v>0</v>
      </c>
      <c r="L590">
        <v>8753</v>
      </c>
      <c r="M590">
        <v>5970</v>
      </c>
      <c r="N590">
        <v>2783</v>
      </c>
      <c r="O590">
        <v>84300</v>
      </c>
      <c r="P590">
        <v>6433</v>
      </c>
      <c r="Q590">
        <v>975</v>
      </c>
      <c r="R590">
        <v>1046</v>
      </c>
      <c r="S590">
        <v>525</v>
      </c>
      <c r="T590" t="s">
        <v>4110</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4112</v>
      </c>
      <c r="B591">
        <v>1980</v>
      </c>
      <c r="C591" t="s">
        <v>173</v>
      </c>
      <c r="D591" t="s">
        <v>4113</v>
      </c>
      <c r="E591" t="str">
        <f t="shared" si="9"/>
        <v>City of Rubidoux</v>
      </c>
      <c r="F591">
        <v>2414</v>
      </c>
      <c r="G591" t="s">
        <v>4114</v>
      </c>
      <c r="H591">
        <v>16763</v>
      </c>
      <c r="I591">
        <v>16763</v>
      </c>
      <c r="J591">
        <v>0</v>
      </c>
      <c r="K591">
        <v>0</v>
      </c>
      <c r="L591">
        <v>5751</v>
      </c>
      <c r="M591">
        <v>4050</v>
      </c>
      <c r="N591">
        <v>1701</v>
      </c>
      <c r="O591">
        <v>63200</v>
      </c>
      <c r="P591">
        <v>4411</v>
      </c>
      <c r="Q591">
        <v>412</v>
      </c>
      <c r="R591">
        <v>349</v>
      </c>
      <c r="S591">
        <v>1005</v>
      </c>
      <c r="T591" t="s">
        <v>4113</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4115</v>
      </c>
      <c r="B592">
        <v>1980</v>
      </c>
      <c r="C592" t="s">
        <v>173</v>
      </c>
      <c r="D592" t="s">
        <v>1018</v>
      </c>
      <c r="E592" t="str">
        <f t="shared" si="9"/>
        <v>City of Sacramento</v>
      </c>
      <c r="F592">
        <v>2420</v>
      </c>
      <c r="G592" t="s">
        <v>4116</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4117</v>
      </c>
      <c r="B593">
        <v>1980</v>
      </c>
      <c r="C593" t="s">
        <v>173</v>
      </c>
      <c r="D593" t="s">
        <v>1134</v>
      </c>
      <c r="E593" t="str">
        <f t="shared" si="9"/>
        <v>City of St. Helena</v>
      </c>
      <c r="F593">
        <v>2425</v>
      </c>
      <c r="G593" t="s">
        <v>4118</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4119</v>
      </c>
      <c r="B594">
        <v>1980</v>
      </c>
      <c r="C594" t="s">
        <v>173</v>
      </c>
      <c r="D594" t="s">
        <v>1020</v>
      </c>
      <c r="E594" t="str">
        <f t="shared" si="9"/>
        <v>City of Salinas</v>
      </c>
      <c r="F594">
        <v>2435</v>
      </c>
      <c r="G594" t="s">
        <v>4120</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4121</v>
      </c>
      <c r="B595">
        <v>1980</v>
      </c>
      <c r="C595" t="s">
        <v>173</v>
      </c>
      <c r="D595" t="s">
        <v>4122</v>
      </c>
      <c r="E595" t="str">
        <f t="shared" si="9"/>
        <v>City of San Andreas</v>
      </c>
      <c r="F595">
        <v>2440</v>
      </c>
      <c r="G595" t="s">
        <v>4123</v>
      </c>
      <c r="H595">
        <v>1912</v>
      </c>
      <c r="I595">
        <v>0</v>
      </c>
      <c r="J595">
        <v>0</v>
      </c>
      <c r="K595">
        <v>1912</v>
      </c>
      <c r="L595">
        <v>755</v>
      </c>
      <c r="M595">
        <v>479</v>
      </c>
      <c r="N595">
        <v>276</v>
      </c>
      <c r="O595">
        <v>60100</v>
      </c>
      <c r="P595">
        <v>577</v>
      </c>
      <c r="Q595">
        <v>100</v>
      </c>
      <c r="R595">
        <v>35</v>
      </c>
      <c r="S595">
        <v>112</v>
      </c>
      <c r="T595" t="s">
        <v>4122</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4124</v>
      </c>
      <c r="B596">
        <v>1980</v>
      </c>
      <c r="C596" t="s">
        <v>173</v>
      </c>
      <c r="D596" t="s">
        <v>1022</v>
      </c>
      <c r="E596" t="str">
        <f t="shared" si="9"/>
        <v>City of San Anselmo</v>
      </c>
      <c r="F596">
        <v>2445</v>
      </c>
      <c r="G596" t="s">
        <v>4125</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4126</v>
      </c>
      <c r="B597">
        <v>1980</v>
      </c>
      <c r="C597" t="s">
        <v>173</v>
      </c>
      <c r="D597" t="s">
        <v>1024</v>
      </c>
      <c r="E597" t="str">
        <f t="shared" si="9"/>
        <v>City of San Bernardino</v>
      </c>
      <c r="F597">
        <v>2450</v>
      </c>
      <c r="G597" t="s">
        <v>4127</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4128</v>
      </c>
      <c r="B598">
        <v>1980</v>
      </c>
      <c r="C598" t="s">
        <v>173</v>
      </c>
      <c r="D598" t="s">
        <v>1026</v>
      </c>
      <c r="E598" t="str">
        <f t="shared" si="9"/>
        <v>City of San Bruno</v>
      </c>
      <c r="F598">
        <v>2455</v>
      </c>
      <c r="G598" t="s">
        <v>4129</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4130</v>
      </c>
      <c r="B599">
        <v>1980</v>
      </c>
      <c r="C599" t="s">
        <v>173</v>
      </c>
      <c r="D599" t="s">
        <v>4131</v>
      </c>
      <c r="E599" t="str">
        <f t="shared" si="9"/>
        <v>City of San Buenaventura %Ventura&lt;</v>
      </c>
      <c r="F599">
        <v>2460</v>
      </c>
      <c r="G599" t="s">
        <v>4132</v>
      </c>
      <c r="H599">
        <v>74393</v>
      </c>
      <c r="I599">
        <v>74393</v>
      </c>
      <c r="J599">
        <v>0</v>
      </c>
      <c r="K599">
        <v>0</v>
      </c>
      <c r="L599">
        <v>29169</v>
      </c>
      <c r="M599">
        <v>16774</v>
      </c>
      <c r="N599">
        <v>12395</v>
      </c>
      <c r="O599">
        <v>93400</v>
      </c>
      <c r="P599">
        <v>22961</v>
      </c>
      <c r="Q599">
        <v>2267</v>
      </c>
      <c r="R599">
        <v>3750</v>
      </c>
      <c r="S599">
        <v>1610</v>
      </c>
      <c r="T599" t="s">
        <v>4131</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4133</v>
      </c>
      <c r="B600">
        <v>1980</v>
      </c>
      <c r="C600" t="s">
        <v>173</v>
      </c>
      <c r="D600" t="s">
        <v>1028</v>
      </c>
      <c r="E600" t="str">
        <f t="shared" si="9"/>
        <v>City of San Carlos</v>
      </c>
      <c r="F600">
        <v>2465</v>
      </c>
      <c r="G600" t="s">
        <v>4134</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4135</v>
      </c>
      <c r="B601">
        <v>1980</v>
      </c>
      <c r="C601" t="s">
        <v>173</v>
      </c>
      <c r="D601" t="s">
        <v>1030</v>
      </c>
      <c r="E601" t="str">
        <f t="shared" si="9"/>
        <v>City of San Clemente</v>
      </c>
      <c r="F601">
        <v>2470</v>
      </c>
      <c r="G601" t="s">
        <v>4136</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4137</v>
      </c>
      <c r="B602">
        <v>1980</v>
      </c>
      <c r="C602" t="s">
        <v>173</v>
      </c>
      <c r="D602" t="s">
        <v>4138</v>
      </c>
      <c r="E602" t="str">
        <f t="shared" si="9"/>
        <v>City of Sand City</v>
      </c>
      <c r="F602">
        <v>2473</v>
      </c>
      <c r="G602" t="s">
        <v>4139</v>
      </c>
      <c r="H602">
        <v>182</v>
      </c>
      <c r="I602">
        <v>182</v>
      </c>
      <c r="J602">
        <v>0</v>
      </c>
      <c r="K602">
        <v>0</v>
      </c>
      <c r="L602">
        <v>84</v>
      </c>
      <c r="M602">
        <v>30</v>
      </c>
      <c r="N602">
        <v>54</v>
      </c>
      <c r="O602">
        <v>47500</v>
      </c>
      <c r="P602">
        <v>77</v>
      </c>
      <c r="Q602">
        <v>10</v>
      </c>
      <c r="R602">
        <v>0</v>
      </c>
      <c r="S602">
        <v>7</v>
      </c>
      <c r="T602" t="s">
        <v>4138</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4140</v>
      </c>
      <c r="B603">
        <v>1980</v>
      </c>
      <c r="C603" t="s">
        <v>173</v>
      </c>
      <c r="D603" t="s">
        <v>4141</v>
      </c>
      <c r="E603" t="str">
        <f t="shared" si="9"/>
        <v>City of Sand Hill</v>
      </c>
      <c r="F603">
        <v>2474</v>
      </c>
      <c r="G603" t="s">
        <v>4142</v>
      </c>
      <c r="H603">
        <v>2606</v>
      </c>
      <c r="I603">
        <v>0</v>
      </c>
      <c r="J603">
        <v>2606</v>
      </c>
      <c r="K603">
        <v>0</v>
      </c>
      <c r="L603">
        <v>839</v>
      </c>
      <c r="M603">
        <v>596</v>
      </c>
      <c r="N603">
        <v>243</v>
      </c>
      <c r="O603">
        <v>67800</v>
      </c>
      <c r="P603">
        <v>751</v>
      </c>
      <c r="Q603">
        <v>69</v>
      </c>
      <c r="R603">
        <v>10</v>
      </c>
      <c r="S603">
        <v>54</v>
      </c>
      <c r="T603" t="s">
        <v>4141</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4143</v>
      </c>
      <c r="B604">
        <v>1980</v>
      </c>
      <c r="C604" t="s">
        <v>173</v>
      </c>
      <c r="D604" t="s">
        <v>1032</v>
      </c>
      <c r="E604" t="str">
        <f t="shared" si="9"/>
        <v>City of San Diego</v>
      </c>
      <c r="F604">
        <v>2475</v>
      </c>
      <c r="G604" t="s">
        <v>4144</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4145</v>
      </c>
      <c r="B605">
        <v>1980</v>
      </c>
      <c r="C605" t="s">
        <v>173</v>
      </c>
      <c r="D605" t="s">
        <v>1034</v>
      </c>
      <c r="E605" t="str">
        <f t="shared" si="9"/>
        <v>City of San Dimas</v>
      </c>
      <c r="F605">
        <v>2477</v>
      </c>
      <c r="G605" t="s">
        <v>4146</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4147</v>
      </c>
      <c r="B606">
        <v>1980</v>
      </c>
      <c r="C606" t="s">
        <v>173</v>
      </c>
      <c r="D606" t="s">
        <v>1036</v>
      </c>
      <c r="E606" t="str">
        <f t="shared" si="9"/>
        <v>City of San Fernando</v>
      </c>
      <c r="F606">
        <v>2480</v>
      </c>
      <c r="G606" t="s">
        <v>4148</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4149</v>
      </c>
      <c r="B607">
        <v>1980</v>
      </c>
      <c r="C607" t="s">
        <v>173</v>
      </c>
      <c r="D607" t="s">
        <v>1038</v>
      </c>
      <c r="E607" t="str">
        <f t="shared" si="9"/>
        <v>City of San Francisco</v>
      </c>
      <c r="F607">
        <v>2485</v>
      </c>
      <c r="G607" t="s">
        <v>4150</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4151</v>
      </c>
      <c r="B608">
        <v>1980</v>
      </c>
      <c r="C608" t="s">
        <v>173</v>
      </c>
      <c r="D608" t="s">
        <v>1040</v>
      </c>
      <c r="E608" t="str">
        <f t="shared" si="9"/>
        <v>City of San Gabriel</v>
      </c>
      <c r="F608">
        <v>2490</v>
      </c>
      <c r="G608" t="s">
        <v>4152</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4153</v>
      </c>
      <c r="B609">
        <v>1980</v>
      </c>
      <c r="C609" t="s">
        <v>173</v>
      </c>
      <c r="D609" t="s">
        <v>1066</v>
      </c>
      <c r="E609" t="str">
        <f t="shared" si="9"/>
        <v>City of Sanger</v>
      </c>
      <c r="F609">
        <v>2495</v>
      </c>
      <c r="G609" t="s">
        <v>4154</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4155</v>
      </c>
      <c r="B610">
        <v>1980</v>
      </c>
      <c r="C610" t="s">
        <v>173</v>
      </c>
      <c r="D610" t="s">
        <v>1042</v>
      </c>
      <c r="E610" t="str">
        <f t="shared" si="9"/>
        <v>City of San Jacinto</v>
      </c>
      <c r="F610">
        <v>2500</v>
      </c>
      <c r="G610" t="s">
        <v>4156</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4157</v>
      </c>
      <c r="B611">
        <v>1980</v>
      </c>
      <c r="C611" t="s">
        <v>173</v>
      </c>
      <c r="D611" t="s">
        <v>1044</v>
      </c>
      <c r="E611" t="str">
        <f t="shared" si="9"/>
        <v>City of San Joaquin</v>
      </c>
      <c r="F611">
        <v>2505</v>
      </c>
      <c r="G611" t="s">
        <v>4158</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4159</v>
      </c>
      <c r="B612">
        <v>1980</v>
      </c>
      <c r="C612" t="s">
        <v>173</v>
      </c>
      <c r="D612" t="s">
        <v>1046</v>
      </c>
      <c r="E612" t="str">
        <f t="shared" si="9"/>
        <v>City of San Jose</v>
      </c>
      <c r="F612">
        <v>2510</v>
      </c>
      <c r="G612" t="s">
        <v>4160</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4161</v>
      </c>
      <c r="B613">
        <v>1980</v>
      </c>
      <c r="C613" t="s">
        <v>173</v>
      </c>
      <c r="D613" t="s">
        <v>1048</v>
      </c>
      <c r="E613" t="str">
        <f t="shared" si="9"/>
        <v>City of San Juan Bautista</v>
      </c>
      <c r="F613">
        <v>2515</v>
      </c>
      <c r="G613" t="s">
        <v>4162</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4163</v>
      </c>
      <c r="B614">
        <v>1980</v>
      </c>
      <c r="C614" t="s">
        <v>173</v>
      </c>
      <c r="D614" t="s">
        <v>1050</v>
      </c>
      <c r="E614" t="str">
        <f t="shared" si="9"/>
        <v>City of San Juan Capistrano</v>
      </c>
      <c r="F614">
        <v>2519</v>
      </c>
      <c r="G614" t="s">
        <v>4164</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4165</v>
      </c>
      <c r="B615">
        <v>1980</v>
      </c>
      <c r="C615" t="s">
        <v>173</v>
      </c>
      <c r="D615" t="s">
        <v>1052</v>
      </c>
      <c r="E615" t="str">
        <f t="shared" si="9"/>
        <v>City of San Leandro</v>
      </c>
      <c r="F615">
        <v>2525</v>
      </c>
      <c r="G615" t="s">
        <v>4166</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4167</v>
      </c>
      <c r="B616">
        <v>1980</v>
      </c>
      <c r="C616" t="s">
        <v>173</v>
      </c>
      <c r="D616" t="s">
        <v>4168</v>
      </c>
      <c r="E616" t="str">
        <f t="shared" si="9"/>
        <v>City of San Lorenzo</v>
      </c>
      <c r="F616">
        <v>2530</v>
      </c>
      <c r="G616" t="s">
        <v>4169</v>
      </c>
      <c r="H616">
        <v>20545</v>
      </c>
      <c r="I616">
        <v>20545</v>
      </c>
      <c r="J616">
        <v>0</v>
      </c>
      <c r="K616">
        <v>0</v>
      </c>
      <c r="L616">
        <v>7265</v>
      </c>
      <c r="M616">
        <v>5921</v>
      </c>
      <c r="N616">
        <v>1344</v>
      </c>
      <c r="O616">
        <v>75600</v>
      </c>
      <c r="P616">
        <v>6867</v>
      </c>
      <c r="Q616">
        <v>116</v>
      </c>
      <c r="R616">
        <v>313</v>
      </c>
      <c r="S616">
        <v>41</v>
      </c>
      <c r="T616" t="s">
        <v>4168</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4170</v>
      </c>
      <c r="B617">
        <v>1980</v>
      </c>
      <c r="C617" t="s">
        <v>173</v>
      </c>
      <c r="D617" t="s">
        <v>1054</v>
      </c>
      <c r="E617" t="str">
        <f t="shared" si="9"/>
        <v>City of San Luis Obispo</v>
      </c>
      <c r="F617">
        <v>2535</v>
      </c>
      <c r="G617" t="s">
        <v>4171</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4172</v>
      </c>
      <c r="B618">
        <v>1980</v>
      </c>
      <c r="C618" t="s">
        <v>173</v>
      </c>
      <c r="D618" t="s">
        <v>1056</v>
      </c>
      <c r="E618" t="str">
        <f t="shared" si="9"/>
        <v>City of San Marcos</v>
      </c>
      <c r="F618">
        <v>2537</v>
      </c>
      <c r="G618" t="s">
        <v>4173</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4174</v>
      </c>
      <c r="B619">
        <v>1980</v>
      </c>
      <c r="C619" t="s">
        <v>173</v>
      </c>
      <c r="D619" t="s">
        <v>1058</v>
      </c>
      <c r="E619" t="str">
        <f t="shared" si="9"/>
        <v>City of San Marino</v>
      </c>
      <c r="F619">
        <v>2545</v>
      </c>
      <c r="G619" t="s">
        <v>4175</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4176</v>
      </c>
      <c r="B620">
        <v>1980</v>
      </c>
      <c r="C620" t="s">
        <v>173</v>
      </c>
      <c r="D620" t="s">
        <v>4177</v>
      </c>
      <c r="E620" t="str">
        <f t="shared" si="9"/>
        <v>City of San Martin</v>
      </c>
      <c r="F620">
        <v>2550</v>
      </c>
      <c r="G620" t="s">
        <v>4178</v>
      </c>
      <c r="H620">
        <v>1731</v>
      </c>
      <c r="I620">
        <v>0</v>
      </c>
      <c r="J620">
        <v>0</v>
      </c>
      <c r="K620">
        <v>1731</v>
      </c>
      <c r="L620">
        <v>472</v>
      </c>
      <c r="M620">
        <v>260</v>
      </c>
      <c r="N620">
        <v>212</v>
      </c>
      <c r="O620">
        <v>88100</v>
      </c>
      <c r="P620">
        <v>397</v>
      </c>
      <c r="Q620">
        <v>66</v>
      </c>
      <c r="R620">
        <v>22</v>
      </c>
      <c r="S620">
        <v>10</v>
      </c>
      <c r="T620" t="s">
        <v>4177</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4179</v>
      </c>
      <c r="B621">
        <v>1980</v>
      </c>
      <c r="C621" t="s">
        <v>173</v>
      </c>
      <c r="D621" t="s">
        <v>1060</v>
      </c>
      <c r="E621" t="str">
        <f t="shared" si="9"/>
        <v>City of San Mateo</v>
      </c>
      <c r="F621">
        <v>2555</v>
      </c>
      <c r="G621" t="s">
        <v>4180</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4181</v>
      </c>
      <c r="B622">
        <v>1980</v>
      </c>
      <c r="C622" t="s">
        <v>173</v>
      </c>
      <c r="D622" t="s">
        <v>4182</v>
      </c>
      <c r="E622" t="str">
        <f t="shared" si="9"/>
        <v>City of San Pablo</v>
      </c>
      <c r="F622">
        <v>2560</v>
      </c>
      <c r="G622" t="s">
        <v>4183</v>
      </c>
      <c r="H622">
        <v>19750</v>
      </c>
      <c r="I622">
        <v>19750</v>
      </c>
      <c r="J622">
        <v>0</v>
      </c>
      <c r="K622">
        <v>0</v>
      </c>
      <c r="L622">
        <v>7948</v>
      </c>
      <c r="M622">
        <v>3706</v>
      </c>
      <c r="N622">
        <v>4242</v>
      </c>
      <c r="O622">
        <v>53600</v>
      </c>
      <c r="P622">
        <v>5115</v>
      </c>
      <c r="Q622">
        <v>1423</v>
      </c>
      <c r="R622">
        <v>1007</v>
      </c>
      <c r="S622">
        <v>808</v>
      </c>
      <c r="T622" t="s">
        <v>4182</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4184</v>
      </c>
      <c r="B623">
        <v>1980</v>
      </c>
      <c r="C623" t="s">
        <v>173</v>
      </c>
      <c r="D623" t="s">
        <v>1062</v>
      </c>
      <c r="E623" t="str">
        <f t="shared" si="9"/>
        <v>City of San Rafael</v>
      </c>
      <c r="F623">
        <v>2565</v>
      </c>
      <c r="G623" t="s">
        <v>4185</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4186</v>
      </c>
      <c r="B624">
        <v>1980</v>
      </c>
      <c r="C624" t="s">
        <v>173</v>
      </c>
      <c r="D624" t="s">
        <v>1064</v>
      </c>
      <c r="E624" t="str">
        <f t="shared" si="9"/>
        <v>City of San Ramon</v>
      </c>
      <c r="F624">
        <v>2567</v>
      </c>
      <c r="G624" t="s">
        <v>4187</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4188</v>
      </c>
      <c r="B625">
        <v>1980</v>
      </c>
      <c r="C625" t="s">
        <v>173</v>
      </c>
      <c r="D625" t="s">
        <v>1068</v>
      </c>
      <c r="E625" t="str">
        <f t="shared" si="9"/>
        <v>City of Santa Ana</v>
      </c>
      <c r="F625">
        <v>2570</v>
      </c>
      <c r="G625" t="s">
        <v>4189</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4190</v>
      </c>
      <c r="B626">
        <v>1980</v>
      </c>
      <c r="C626" t="s">
        <v>173</v>
      </c>
      <c r="D626" t="s">
        <v>1070</v>
      </c>
      <c r="E626" t="str">
        <f t="shared" si="9"/>
        <v>City of Santa Barbara</v>
      </c>
      <c r="F626">
        <v>2575</v>
      </c>
      <c r="G626" t="s">
        <v>4191</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4192</v>
      </c>
      <c r="B627">
        <v>1980</v>
      </c>
      <c r="C627" t="s">
        <v>173</v>
      </c>
      <c r="D627" t="s">
        <v>1072</v>
      </c>
      <c r="E627" t="str">
        <f t="shared" si="9"/>
        <v>City of Santa Clara</v>
      </c>
      <c r="F627">
        <v>2580</v>
      </c>
      <c r="G627" t="s">
        <v>4193</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4194</v>
      </c>
      <c r="B628">
        <v>1980</v>
      </c>
      <c r="C628" t="s">
        <v>173</v>
      </c>
      <c r="D628" t="s">
        <v>1076</v>
      </c>
      <c r="E628" t="str">
        <f t="shared" si="9"/>
        <v>City of Santa Cruz</v>
      </c>
      <c r="F628">
        <v>2585</v>
      </c>
      <c r="G628" t="s">
        <v>4195</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4196</v>
      </c>
      <c r="B629">
        <v>1980</v>
      </c>
      <c r="C629" t="s">
        <v>173</v>
      </c>
      <c r="D629" t="s">
        <v>1078</v>
      </c>
      <c r="E629" t="str">
        <f t="shared" si="9"/>
        <v>City of Santa Fe Springs</v>
      </c>
      <c r="F629">
        <v>2590</v>
      </c>
      <c r="G629" t="s">
        <v>4197</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4198</v>
      </c>
      <c r="B630">
        <v>1980</v>
      </c>
      <c r="C630" t="s">
        <v>173</v>
      </c>
      <c r="D630" t="s">
        <v>1080</v>
      </c>
      <c r="E630" t="str">
        <f t="shared" si="9"/>
        <v>City of Santa Maria</v>
      </c>
      <c r="F630">
        <v>2595</v>
      </c>
      <c r="G630" t="s">
        <v>4199</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4200</v>
      </c>
      <c r="B631">
        <v>1980</v>
      </c>
      <c r="C631" t="s">
        <v>173</v>
      </c>
      <c r="D631" t="s">
        <v>1082</v>
      </c>
      <c r="E631" t="str">
        <f t="shared" si="9"/>
        <v>City of Santa Monica</v>
      </c>
      <c r="F631">
        <v>2600</v>
      </c>
      <c r="G631" t="s">
        <v>4201</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4202</v>
      </c>
      <c r="B632">
        <v>1980</v>
      </c>
      <c r="C632" t="s">
        <v>173</v>
      </c>
      <c r="D632" t="s">
        <v>1084</v>
      </c>
      <c r="E632" t="str">
        <f t="shared" si="9"/>
        <v>City of Santa Paula</v>
      </c>
      <c r="F632">
        <v>2605</v>
      </c>
      <c r="G632" t="s">
        <v>4203</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4204</v>
      </c>
      <c r="B633">
        <v>1980</v>
      </c>
      <c r="C633" t="s">
        <v>173</v>
      </c>
      <c r="D633" t="s">
        <v>1086</v>
      </c>
      <c r="E633" t="str">
        <f t="shared" si="9"/>
        <v>City of Santa Rosa</v>
      </c>
      <c r="F633">
        <v>2615</v>
      </c>
      <c r="G633" t="s">
        <v>4205</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4206</v>
      </c>
      <c r="B634">
        <v>1980</v>
      </c>
      <c r="C634" t="s">
        <v>173</v>
      </c>
      <c r="D634" t="s">
        <v>4207</v>
      </c>
      <c r="E634" t="str">
        <f t="shared" si="9"/>
        <v>City of Santa Ynez</v>
      </c>
      <c r="F634">
        <v>2619</v>
      </c>
      <c r="G634" t="s">
        <v>4208</v>
      </c>
      <c r="H634">
        <v>3335</v>
      </c>
      <c r="I634">
        <v>0</v>
      </c>
      <c r="J634">
        <v>3335</v>
      </c>
      <c r="K634">
        <v>0</v>
      </c>
      <c r="L634">
        <v>1108</v>
      </c>
      <c r="M634">
        <v>960</v>
      </c>
      <c r="N634">
        <v>148</v>
      </c>
      <c r="O634">
        <v>142000</v>
      </c>
      <c r="P634">
        <v>1051</v>
      </c>
      <c r="Q634">
        <v>91</v>
      </c>
      <c r="R634">
        <v>10</v>
      </c>
      <c r="S634">
        <v>27</v>
      </c>
      <c r="T634" t="s">
        <v>4207</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4209</v>
      </c>
      <c r="B635">
        <v>1980</v>
      </c>
      <c r="C635" t="s">
        <v>173</v>
      </c>
      <c r="D635" t="s">
        <v>1088</v>
      </c>
      <c r="E635" t="str">
        <f t="shared" si="9"/>
        <v>City of Santee</v>
      </c>
      <c r="F635">
        <v>2623</v>
      </c>
      <c r="G635" t="s">
        <v>4210</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4211</v>
      </c>
      <c r="B636">
        <v>1980</v>
      </c>
      <c r="C636" t="s">
        <v>173</v>
      </c>
      <c r="D636" t="s">
        <v>1090</v>
      </c>
      <c r="E636" t="str">
        <f t="shared" si="9"/>
        <v>City of Saratoga</v>
      </c>
      <c r="F636">
        <v>2630</v>
      </c>
      <c r="G636" t="s">
        <v>4212</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4213</v>
      </c>
      <c r="B637">
        <v>1980</v>
      </c>
      <c r="C637" t="s">
        <v>173</v>
      </c>
      <c r="D637" t="s">
        <v>4214</v>
      </c>
      <c r="E637" t="str">
        <f t="shared" si="9"/>
        <v>City of Saugus-Bouquet Canyon</v>
      </c>
      <c r="F637">
        <v>2635</v>
      </c>
      <c r="G637" t="s">
        <v>4215</v>
      </c>
      <c r="H637">
        <v>16283</v>
      </c>
      <c r="I637">
        <v>0</v>
      </c>
      <c r="J637">
        <v>16283</v>
      </c>
      <c r="K637">
        <v>0</v>
      </c>
      <c r="L637">
        <v>4729</v>
      </c>
      <c r="M637">
        <v>4263</v>
      </c>
      <c r="N637">
        <v>466</v>
      </c>
      <c r="O637">
        <v>95500</v>
      </c>
      <c r="P637">
        <v>4714</v>
      </c>
      <c r="Q637">
        <v>50</v>
      </c>
      <c r="R637">
        <v>0</v>
      </c>
      <c r="S637">
        <v>150</v>
      </c>
      <c r="T637" t="s">
        <v>4214</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4216</v>
      </c>
      <c r="B638">
        <v>1980</v>
      </c>
      <c r="C638" t="s">
        <v>173</v>
      </c>
      <c r="D638" t="s">
        <v>1092</v>
      </c>
      <c r="E638" t="str">
        <f t="shared" si="9"/>
        <v>City of Sausalito</v>
      </c>
      <c r="F638">
        <v>2640</v>
      </c>
      <c r="G638" t="s">
        <v>4217</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4218</v>
      </c>
      <c r="B639">
        <v>1980</v>
      </c>
      <c r="C639" t="s">
        <v>173</v>
      </c>
      <c r="D639" t="s">
        <v>1094</v>
      </c>
      <c r="E639" t="str">
        <f t="shared" si="9"/>
        <v>City of Scotts Valley</v>
      </c>
      <c r="F639">
        <v>2647</v>
      </c>
      <c r="G639" t="s">
        <v>4219</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4220</v>
      </c>
      <c r="B640">
        <v>1980</v>
      </c>
      <c r="C640" t="s">
        <v>173</v>
      </c>
      <c r="D640" t="s">
        <v>1096</v>
      </c>
      <c r="E640" t="str">
        <f t="shared" si="9"/>
        <v>City of Seal Beach</v>
      </c>
      <c r="F640">
        <v>2650</v>
      </c>
      <c r="G640" t="s">
        <v>4221</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4222</v>
      </c>
      <c r="B641">
        <v>1980</v>
      </c>
      <c r="C641" t="s">
        <v>173</v>
      </c>
      <c r="D641" t="s">
        <v>4223</v>
      </c>
      <c r="E641" t="str">
        <f t="shared" si="9"/>
        <v>City of Searles Valley</v>
      </c>
      <c r="F641">
        <v>2653</v>
      </c>
      <c r="G641" t="s">
        <v>4224</v>
      </c>
      <c r="H641">
        <v>3439</v>
      </c>
      <c r="I641">
        <v>0</v>
      </c>
      <c r="J641">
        <v>3439</v>
      </c>
      <c r="K641">
        <v>0</v>
      </c>
      <c r="L641">
        <v>1256</v>
      </c>
      <c r="M641">
        <v>794</v>
      </c>
      <c r="N641">
        <v>462</v>
      </c>
      <c r="O641">
        <v>29700</v>
      </c>
      <c r="P641">
        <v>1089</v>
      </c>
      <c r="Q641">
        <v>115</v>
      </c>
      <c r="R641">
        <v>177</v>
      </c>
      <c r="S641">
        <v>57</v>
      </c>
      <c r="T641" t="s">
        <v>4223</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4225</v>
      </c>
      <c r="B642">
        <v>1980</v>
      </c>
      <c r="C642" t="s">
        <v>173</v>
      </c>
      <c r="D642" t="s">
        <v>1098</v>
      </c>
      <c r="E642" t="str">
        <f t="shared" si="9"/>
        <v>City of Seaside</v>
      </c>
      <c r="F642">
        <v>2655</v>
      </c>
      <c r="G642" t="s">
        <v>4226</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4227</v>
      </c>
      <c r="B643">
        <v>1980</v>
      </c>
      <c r="C643" t="s">
        <v>173</v>
      </c>
      <c r="D643" t="s">
        <v>1100</v>
      </c>
      <c r="E643" t="str">
        <f t="shared" si="9"/>
        <v>City of Sebastopol</v>
      </c>
      <c r="F643">
        <v>2665</v>
      </c>
      <c r="G643" t="s">
        <v>4228</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4229</v>
      </c>
      <c r="B644">
        <v>1980</v>
      </c>
      <c r="C644" t="s">
        <v>173</v>
      </c>
      <c r="D644" t="s">
        <v>4230</v>
      </c>
      <c r="E644" t="str">
        <f t="shared" si="9"/>
        <v>City of Sedco Hills</v>
      </c>
      <c r="F644">
        <v>2667</v>
      </c>
      <c r="G644" t="s">
        <v>4231</v>
      </c>
      <c r="H644">
        <v>2678</v>
      </c>
      <c r="I644">
        <v>0</v>
      </c>
      <c r="J644">
        <v>2678</v>
      </c>
      <c r="K644">
        <v>0</v>
      </c>
      <c r="L644">
        <v>1044</v>
      </c>
      <c r="M644">
        <v>853</v>
      </c>
      <c r="N644">
        <v>191</v>
      </c>
      <c r="O644">
        <v>57000</v>
      </c>
      <c r="P644">
        <v>675</v>
      </c>
      <c r="Q644">
        <v>39</v>
      </c>
      <c r="R644">
        <v>0</v>
      </c>
      <c r="S644">
        <v>527</v>
      </c>
      <c r="T644" t="s">
        <v>4230</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4232</v>
      </c>
      <c r="B645">
        <v>1980</v>
      </c>
      <c r="C645" t="s">
        <v>173</v>
      </c>
      <c r="D645" t="s">
        <v>4233</v>
      </c>
      <c r="E645" t="str">
        <f t="shared" ref="E645:E708" si="10">_xlfn.CONCAT("City of ",D645)</f>
        <v>City of Seeley</v>
      </c>
      <c r="F645">
        <v>2668</v>
      </c>
      <c r="G645" t="s">
        <v>4234</v>
      </c>
      <c r="H645">
        <v>1058</v>
      </c>
      <c r="I645">
        <v>0</v>
      </c>
      <c r="J645">
        <v>0</v>
      </c>
      <c r="K645">
        <v>1058</v>
      </c>
      <c r="L645">
        <v>303</v>
      </c>
      <c r="M645">
        <v>201</v>
      </c>
      <c r="N645">
        <v>102</v>
      </c>
      <c r="O645">
        <v>35000</v>
      </c>
      <c r="P645">
        <v>242</v>
      </c>
      <c r="Q645">
        <v>37</v>
      </c>
      <c r="R645">
        <v>2</v>
      </c>
      <c r="S645">
        <v>63</v>
      </c>
      <c r="T645" t="s">
        <v>4233</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4235</v>
      </c>
      <c r="B646">
        <v>1980</v>
      </c>
      <c r="C646" t="s">
        <v>173</v>
      </c>
      <c r="D646" t="s">
        <v>1102</v>
      </c>
      <c r="E646" t="str">
        <f t="shared" si="10"/>
        <v>City of Selma</v>
      </c>
      <c r="F646">
        <v>2670</v>
      </c>
      <c r="G646" t="s">
        <v>4236</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4237</v>
      </c>
      <c r="B647">
        <v>1980</v>
      </c>
      <c r="C647" t="s">
        <v>173</v>
      </c>
      <c r="D647" t="s">
        <v>1104</v>
      </c>
      <c r="E647" t="str">
        <f t="shared" si="10"/>
        <v>City of Shafter</v>
      </c>
      <c r="F647">
        <v>2675</v>
      </c>
      <c r="G647" t="s">
        <v>4238</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4239</v>
      </c>
      <c r="B648">
        <v>1980</v>
      </c>
      <c r="C648" t="s">
        <v>173</v>
      </c>
      <c r="D648" t="s">
        <v>4240</v>
      </c>
      <c r="E648" t="str">
        <f t="shared" si="10"/>
        <v>City of Shingle Springs</v>
      </c>
      <c r="F648">
        <v>2679</v>
      </c>
      <c r="G648" t="s">
        <v>4241</v>
      </c>
      <c r="H648">
        <v>1268</v>
      </c>
      <c r="I648">
        <v>0</v>
      </c>
      <c r="J648">
        <v>0</v>
      </c>
      <c r="K648">
        <v>1268</v>
      </c>
      <c r="L648">
        <v>402</v>
      </c>
      <c r="M648">
        <v>350</v>
      </c>
      <c r="N648">
        <v>52</v>
      </c>
      <c r="O648">
        <v>76200</v>
      </c>
      <c r="P648">
        <v>393</v>
      </c>
      <c r="Q648">
        <v>15</v>
      </c>
      <c r="R648">
        <v>0</v>
      </c>
      <c r="S648">
        <v>19</v>
      </c>
      <c r="T648" t="s">
        <v>4240</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4242</v>
      </c>
      <c r="B649">
        <v>1980</v>
      </c>
      <c r="C649" t="s">
        <v>173</v>
      </c>
      <c r="D649" t="s">
        <v>4243</v>
      </c>
      <c r="E649" t="str">
        <f t="shared" si="10"/>
        <v>City of Short Acres</v>
      </c>
      <c r="F649">
        <v>2685</v>
      </c>
      <c r="G649" t="s">
        <v>4244</v>
      </c>
      <c r="H649">
        <v>1266</v>
      </c>
      <c r="I649">
        <v>0</v>
      </c>
      <c r="J649">
        <v>0</v>
      </c>
      <c r="K649">
        <v>1266</v>
      </c>
      <c r="L649">
        <v>490</v>
      </c>
      <c r="M649">
        <v>405</v>
      </c>
      <c r="N649">
        <v>85</v>
      </c>
      <c r="O649">
        <v>61700</v>
      </c>
      <c r="P649">
        <v>484</v>
      </c>
      <c r="Q649">
        <v>22</v>
      </c>
      <c r="R649">
        <v>0</v>
      </c>
      <c r="S649">
        <v>0</v>
      </c>
      <c r="T649" t="s">
        <v>4243</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4245</v>
      </c>
      <c r="B650">
        <v>1980</v>
      </c>
      <c r="C650" t="s">
        <v>173</v>
      </c>
      <c r="D650" t="s">
        <v>1108</v>
      </c>
      <c r="E650" t="str">
        <f t="shared" si="10"/>
        <v>City of Sierra Madre</v>
      </c>
      <c r="F650">
        <v>2690</v>
      </c>
      <c r="G650" t="s">
        <v>4246</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4247</v>
      </c>
      <c r="B651">
        <v>1980</v>
      </c>
      <c r="C651" t="s">
        <v>173</v>
      </c>
      <c r="D651" t="s">
        <v>1110</v>
      </c>
      <c r="E651" t="str">
        <f t="shared" si="10"/>
        <v>City of Signal Hill</v>
      </c>
      <c r="F651">
        <v>2693</v>
      </c>
      <c r="G651" t="s">
        <v>4248</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4249</v>
      </c>
      <c r="B652">
        <v>1980</v>
      </c>
      <c r="C652" t="s">
        <v>173</v>
      </c>
      <c r="D652" t="s">
        <v>1112</v>
      </c>
      <c r="E652" t="str">
        <f t="shared" si="10"/>
        <v>City of Simi Valley</v>
      </c>
      <c r="F652">
        <v>2702</v>
      </c>
      <c r="G652" t="s">
        <v>4250</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4251</v>
      </c>
      <c r="B653">
        <v>1980</v>
      </c>
      <c r="C653" t="s">
        <v>173</v>
      </c>
      <c r="D653" t="s">
        <v>1114</v>
      </c>
      <c r="E653" t="str">
        <f t="shared" si="10"/>
        <v>City of Solana Beach</v>
      </c>
      <c r="F653">
        <v>2704</v>
      </c>
      <c r="G653" t="s">
        <v>4252</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4253</v>
      </c>
      <c r="B654">
        <v>1980</v>
      </c>
      <c r="C654" t="s">
        <v>173</v>
      </c>
      <c r="D654" t="s">
        <v>1116</v>
      </c>
      <c r="E654" t="str">
        <f t="shared" si="10"/>
        <v>City of Soledad</v>
      </c>
      <c r="F654">
        <v>2705</v>
      </c>
      <c r="G654" t="s">
        <v>4254</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4255</v>
      </c>
      <c r="B655">
        <v>1980</v>
      </c>
      <c r="C655" t="s">
        <v>173</v>
      </c>
      <c r="D655" t="s">
        <v>1118</v>
      </c>
      <c r="E655" t="str">
        <f t="shared" si="10"/>
        <v>City of Solvang</v>
      </c>
      <c r="F655">
        <v>2710</v>
      </c>
      <c r="G655" t="s">
        <v>4256</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4257</v>
      </c>
      <c r="B656">
        <v>1980</v>
      </c>
      <c r="C656" t="s">
        <v>173</v>
      </c>
      <c r="D656" t="s">
        <v>1120</v>
      </c>
      <c r="E656" t="str">
        <f t="shared" si="10"/>
        <v>City of Sonoma</v>
      </c>
      <c r="F656">
        <v>2715</v>
      </c>
      <c r="G656" t="s">
        <v>4258</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4259</v>
      </c>
      <c r="B657">
        <v>1980</v>
      </c>
      <c r="C657" t="s">
        <v>173</v>
      </c>
      <c r="D657" t="s">
        <v>1122</v>
      </c>
      <c r="E657" t="str">
        <f t="shared" si="10"/>
        <v>City of Sonora</v>
      </c>
      <c r="F657">
        <v>2720</v>
      </c>
      <c r="G657" t="s">
        <v>4260</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4261</v>
      </c>
      <c r="B658">
        <v>1980</v>
      </c>
      <c r="C658" t="s">
        <v>173</v>
      </c>
      <c r="D658" t="s">
        <v>4262</v>
      </c>
      <c r="E658" t="str">
        <f t="shared" si="10"/>
        <v>City of Soquel</v>
      </c>
      <c r="F658">
        <v>2722</v>
      </c>
      <c r="G658" t="s">
        <v>4263</v>
      </c>
      <c r="H658">
        <v>6212</v>
      </c>
      <c r="I658">
        <v>6212</v>
      </c>
      <c r="J658">
        <v>0</v>
      </c>
      <c r="K658">
        <v>0</v>
      </c>
      <c r="L658">
        <v>2580</v>
      </c>
      <c r="M658">
        <v>1800</v>
      </c>
      <c r="N658">
        <v>780</v>
      </c>
      <c r="O658">
        <v>99700</v>
      </c>
      <c r="P658">
        <v>1877</v>
      </c>
      <c r="Q658">
        <v>275</v>
      </c>
      <c r="R658">
        <v>52</v>
      </c>
      <c r="S658">
        <v>632</v>
      </c>
      <c r="T658" t="s">
        <v>4262</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4264</v>
      </c>
      <c r="B659">
        <v>1980</v>
      </c>
      <c r="C659" t="s">
        <v>173</v>
      </c>
      <c r="D659" t="s">
        <v>1124</v>
      </c>
      <c r="E659" t="str">
        <f t="shared" si="10"/>
        <v>City of South El Monte</v>
      </c>
      <c r="F659">
        <v>2725</v>
      </c>
      <c r="G659" t="s">
        <v>4265</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4266</v>
      </c>
      <c r="B660">
        <v>1980</v>
      </c>
      <c r="C660" t="s">
        <v>173</v>
      </c>
      <c r="D660" t="s">
        <v>1126</v>
      </c>
      <c r="E660" t="str">
        <f t="shared" si="10"/>
        <v>City of South Gate</v>
      </c>
      <c r="F660">
        <v>2730</v>
      </c>
      <c r="G660" t="s">
        <v>4267</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4268</v>
      </c>
      <c r="B661">
        <v>1980</v>
      </c>
      <c r="C661" t="s">
        <v>173</v>
      </c>
      <c r="D661" t="s">
        <v>4269</v>
      </c>
      <c r="E661" t="str">
        <f t="shared" si="10"/>
        <v>City of South Laguna</v>
      </c>
      <c r="F661">
        <v>2735</v>
      </c>
      <c r="G661" t="s">
        <v>4270</v>
      </c>
      <c r="H661">
        <v>6013</v>
      </c>
      <c r="I661">
        <v>6013</v>
      </c>
      <c r="J661">
        <v>0</v>
      </c>
      <c r="K661">
        <v>0</v>
      </c>
      <c r="L661">
        <v>2661</v>
      </c>
      <c r="M661">
        <v>2053</v>
      </c>
      <c r="N661">
        <v>608</v>
      </c>
      <c r="O661">
        <v>200100</v>
      </c>
      <c r="P661">
        <v>2360</v>
      </c>
      <c r="Q661">
        <v>250</v>
      </c>
      <c r="R661">
        <v>166</v>
      </c>
      <c r="S661">
        <v>238</v>
      </c>
      <c r="T661" t="s">
        <v>4269</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4271</v>
      </c>
      <c r="B662">
        <v>1980</v>
      </c>
      <c r="C662" t="s">
        <v>173</v>
      </c>
      <c r="D662" t="s">
        <v>1128</v>
      </c>
      <c r="E662" t="str">
        <f t="shared" si="10"/>
        <v>City of South Lake Tahoe</v>
      </c>
      <c r="F662">
        <v>2737</v>
      </c>
      <c r="G662" t="s">
        <v>4272</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4273</v>
      </c>
      <c r="B663">
        <v>1980</v>
      </c>
      <c r="C663" t="s">
        <v>173</v>
      </c>
      <c r="D663" t="s">
        <v>4274</v>
      </c>
      <c r="E663" t="str">
        <f t="shared" si="10"/>
        <v>City of South Modesto</v>
      </c>
      <c r="F663">
        <v>2740</v>
      </c>
      <c r="G663" t="s">
        <v>4275</v>
      </c>
      <c r="H663">
        <v>12492</v>
      </c>
      <c r="I663">
        <v>12492</v>
      </c>
      <c r="J663">
        <v>0</v>
      </c>
      <c r="K663">
        <v>0</v>
      </c>
      <c r="L663">
        <v>4141</v>
      </c>
      <c r="M663">
        <v>2674</v>
      </c>
      <c r="N663">
        <v>1467</v>
      </c>
      <c r="O663">
        <v>33900</v>
      </c>
      <c r="P663">
        <v>3518</v>
      </c>
      <c r="Q663">
        <v>297</v>
      </c>
      <c r="R663">
        <v>133</v>
      </c>
      <c r="S663">
        <v>448</v>
      </c>
      <c r="T663" t="s">
        <v>4274</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4276</v>
      </c>
      <c r="B664">
        <v>1980</v>
      </c>
      <c r="C664" t="s">
        <v>173</v>
      </c>
      <c r="D664" t="s">
        <v>4277</v>
      </c>
      <c r="E664" t="str">
        <f t="shared" si="10"/>
        <v>City of South Oroville</v>
      </c>
      <c r="F664">
        <v>2745</v>
      </c>
      <c r="G664" t="s">
        <v>4278</v>
      </c>
      <c r="H664">
        <v>7246</v>
      </c>
      <c r="I664">
        <v>0</v>
      </c>
      <c r="J664">
        <v>7246</v>
      </c>
      <c r="K664">
        <v>0</v>
      </c>
      <c r="L664">
        <v>2669</v>
      </c>
      <c r="M664">
        <v>1908</v>
      </c>
      <c r="N664">
        <v>761</v>
      </c>
      <c r="O664">
        <v>40100</v>
      </c>
      <c r="P664">
        <v>2457</v>
      </c>
      <c r="Q664">
        <v>166</v>
      </c>
      <c r="R664">
        <v>0</v>
      </c>
      <c r="S664">
        <v>232</v>
      </c>
      <c r="T664" t="s">
        <v>4277</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4279</v>
      </c>
      <c r="B665">
        <v>1980</v>
      </c>
      <c r="C665" t="s">
        <v>173</v>
      </c>
      <c r="D665" t="s">
        <v>1130</v>
      </c>
      <c r="E665" t="str">
        <f t="shared" si="10"/>
        <v>City of South Pasadena</v>
      </c>
      <c r="F665">
        <v>2755</v>
      </c>
      <c r="G665" t="s">
        <v>4280</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4281</v>
      </c>
      <c r="B666">
        <v>1980</v>
      </c>
      <c r="C666" t="s">
        <v>173</v>
      </c>
      <c r="D666" t="s">
        <v>1132</v>
      </c>
      <c r="E666" t="str">
        <f t="shared" si="10"/>
        <v>City of South San Francisco</v>
      </c>
      <c r="F666">
        <v>2765</v>
      </c>
      <c r="G666" t="s">
        <v>4282</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4283</v>
      </c>
      <c r="B667">
        <v>1980</v>
      </c>
      <c r="C667" t="s">
        <v>173</v>
      </c>
      <c r="D667" t="s">
        <v>4284</v>
      </c>
      <c r="E667" t="str">
        <f t="shared" si="10"/>
        <v>City of South San Gabriel</v>
      </c>
      <c r="F667">
        <v>2770</v>
      </c>
      <c r="G667" t="s">
        <v>4285</v>
      </c>
      <c r="H667">
        <v>5421</v>
      </c>
      <c r="I667">
        <v>5421</v>
      </c>
      <c r="J667">
        <v>0</v>
      </c>
      <c r="K667">
        <v>0</v>
      </c>
      <c r="L667">
        <v>1438</v>
      </c>
      <c r="M667">
        <v>991</v>
      </c>
      <c r="N667">
        <v>447</v>
      </c>
      <c r="O667">
        <v>68000</v>
      </c>
      <c r="P667">
        <v>1307</v>
      </c>
      <c r="Q667">
        <v>143</v>
      </c>
      <c r="R667">
        <v>30</v>
      </c>
      <c r="S667">
        <v>14</v>
      </c>
      <c r="T667" t="s">
        <v>4284</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4286</v>
      </c>
      <c r="B668">
        <v>1980</v>
      </c>
      <c r="C668" t="s">
        <v>173</v>
      </c>
      <c r="D668" t="s">
        <v>4287</v>
      </c>
      <c r="E668" t="str">
        <f t="shared" si="10"/>
        <v>City of South San Jose Hills</v>
      </c>
      <c r="F668">
        <v>2772</v>
      </c>
      <c r="G668" t="s">
        <v>4288</v>
      </c>
      <c r="H668">
        <v>16049</v>
      </c>
      <c r="I668">
        <v>16049</v>
      </c>
      <c r="J668">
        <v>0</v>
      </c>
      <c r="K668">
        <v>0</v>
      </c>
      <c r="L668">
        <v>3800</v>
      </c>
      <c r="M668">
        <v>3357</v>
      </c>
      <c r="N668">
        <v>443</v>
      </c>
      <c r="O668">
        <v>62700</v>
      </c>
      <c r="P668">
        <v>3099</v>
      </c>
      <c r="Q668">
        <v>158</v>
      </c>
      <c r="R668">
        <v>1</v>
      </c>
      <c r="S668">
        <v>611</v>
      </c>
      <c r="T668" t="s">
        <v>4287</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4289</v>
      </c>
      <c r="B669">
        <v>1980</v>
      </c>
      <c r="C669" t="s">
        <v>173</v>
      </c>
      <c r="D669" t="s">
        <v>4290</v>
      </c>
      <c r="E669" t="str">
        <f t="shared" si="10"/>
        <v>City of South Taft</v>
      </c>
      <c r="F669">
        <v>2775</v>
      </c>
      <c r="G669" t="s">
        <v>4291</v>
      </c>
      <c r="H669">
        <v>2073</v>
      </c>
      <c r="I669">
        <v>0</v>
      </c>
      <c r="J669">
        <v>0</v>
      </c>
      <c r="K669">
        <v>2073</v>
      </c>
      <c r="L669">
        <v>772</v>
      </c>
      <c r="M669">
        <v>515</v>
      </c>
      <c r="N669">
        <v>257</v>
      </c>
      <c r="O669">
        <v>17200</v>
      </c>
      <c r="P669">
        <v>769</v>
      </c>
      <c r="Q669">
        <v>37</v>
      </c>
      <c r="R669">
        <v>0</v>
      </c>
      <c r="S669">
        <v>7</v>
      </c>
      <c r="T669" t="s">
        <v>4290</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4292</v>
      </c>
      <c r="B670">
        <v>1980</v>
      </c>
      <c r="C670" t="s">
        <v>173</v>
      </c>
      <c r="D670" t="s">
        <v>4293</v>
      </c>
      <c r="E670" t="str">
        <f t="shared" si="10"/>
        <v>City of South Turlock</v>
      </c>
      <c r="F670">
        <v>2780</v>
      </c>
      <c r="G670" t="s">
        <v>4294</v>
      </c>
      <c r="H670">
        <v>1700</v>
      </c>
      <c r="I670">
        <v>0</v>
      </c>
      <c r="J670">
        <v>0</v>
      </c>
      <c r="K670">
        <v>1700</v>
      </c>
      <c r="L670">
        <v>571</v>
      </c>
      <c r="M670">
        <v>372</v>
      </c>
      <c r="N670">
        <v>199</v>
      </c>
      <c r="O670">
        <v>53200</v>
      </c>
      <c r="P670">
        <v>493</v>
      </c>
      <c r="Q670">
        <v>47</v>
      </c>
      <c r="R670">
        <v>30</v>
      </c>
      <c r="S670">
        <v>43</v>
      </c>
      <c r="T670" t="s">
        <v>4293</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4295</v>
      </c>
      <c r="B671">
        <v>1980</v>
      </c>
      <c r="C671" t="s">
        <v>173</v>
      </c>
      <c r="D671" t="s">
        <v>4296</v>
      </c>
      <c r="E671" t="str">
        <f t="shared" si="10"/>
        <v>City of South Whittier</v>
      </c>
      <c r="F671">
        <v>2782</v>
      </c>
      <c r="G671" t="s">
        <v>4297</v>
      </c>
      <c r="H671">
        <v>43815</v>
      </c>
      <c r="I671">
        <v>43815</v>
      </c>
      <c r="J671">
        <v>0</v>
      </c>
      <c r="K671">
        <v>0</v>
      </c>
      <c r="L671">
        <v>13488</v>
      </c>
      <c r="M671">
        <v>8985</v>
      </c>
      <c r="N671">
        <v>4503</v>
      </c>
      <c r="O671">
        <v>69900</v>
      </c>
      <c r="P671">
        <v>11552</v>
      </c>
      <c r="Q671">
        <v>903</v>
      </c>
      <c r="R671">
        <v>1207</v>
      </c>
      <c r="S671">
        <v>93</v>
      </c>
      <c r="T671" t="s">
        <v>4296</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4298</v>
      </c>
      <c r="B672">
        <v>1980</v>
      </c>
      <c r="C672" t="s">
        <v>173</v>
      </c>
      <c r="D672" t="s">
        <v>4299</v>
      </c>
      <c r="E672" t="str">
        <f t="shared" si="10"/>
        <v>City of South Yuba City</v>
      </c>
      <c r="F672">
        <v>2785</v>
      </c>
      <c r="G672" t="s">
        <v>4300</v>
      </c>
      <c r="H672">
        <v>7530</v>
      </c>
      <c r="I672">
        <v>7530</v>
      </c>
      <c r="J672">
        <v>0</v>
      </c>
      <c r="K672">
        <v>0</v>
      </c>
      <c r="L672">
        <v>2436</v>
      </c>
      <c r="M672">
        <v>2058</v>
      </c>
      <c r="N672">
        <v>378</v>
      </c>
      <c r="O672">
        <v>69500</v>
      </c>
      <c r="P672">
        <v>2347</v>
      </c>
      <c r="Q672">
        <v>109</v>
      </c>
      <c r="R672">
        <v>97</v>
      </c>
      <c r="S672">
        <v>8</v>
      </c>
      <c r="T672" t="s">
        <v>4299</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4301</v>
      </c>
      <c r="B673">
        <v>1980</v>
      </c>
      <c r="C673" t="s">
        <v>173</v>
      </c>
      <c r="D673" t="s">
        <v>4302</v>
      </c>
      <c r="E673" t="str">
        <f t="shared" si="10"/>
        <v>City of Spring Valley</v>
      </c>
      <c r="F673">
        <v>2795</v>
      </c>
      <c r="G673" t="s">
        <v>4303</v>
      </c>
      <c r="H673">
        <v>40191</v>
      </c>
      <c r="I673">
        <v>40191</v>
      </c>
      <c r="J673">
        <v>0</v>
      </c>
      <c r="K673">
        <v>0</v>
      </c>
      <c r="L673">
        <v>13248</v>
      </c>
      <c r="M673">
        <v>9798</v>
      </c>
      <c r="N673">
        <v>3450</v>
      </c>
      <c r="O673">
        <v>81600</v>
      </c>
      <c r="P673">
        <v>10930</v>
      </c>
      <c r="Q673">
        <v>787</v>
      </c>
      <c r="R673">
        <v>880</v>
      </c>
      <c r="S673">
        <v>1287</v>
      </c>
      <c r="T673" t="s">
        <v>4302</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4304</v>
      </c>
      <c r="B674">
        <v>1980</v>
      </c>
      <c r="C674" t="s">
        <v>173</v>
      </c>
      <c r="D674" t="s">
        <v>4305</v>
      </c>
      <c r="E674" t="str">
        <f t="shared" si="10"/>
        <v>City of Stanford</v>
      </c>
      <c r="F674">
        <v>2798</v>
      </c>
      <c r="G674" t="s">
        <v>4306</v>
      </c>
      <c r="H674">
        <v>11045</v>
      </c>
      <c r="I674">
        <v>11045</v>
      </c>
      <c r="J674">
        <v>0</v>
      </c>
      <c r="K674">
        <v>0</v>
      </c>
      <c r="L674">
        <v>1823</v>
      </c>
      <c r="M674">
        <v>624</v>
      </c>
      <c r="N674">
        <v>1199</v>
      </c>
      <c r="O674">
        <v>200100</v>
      </c>
      <c r="P674">
        <v>1203</v>
      </c>
      <c r="Q674">
        <v>425</v>
      </c>
      <c r="R674">
        <v>240</v>
      </c>
      <c r="S674">
        <v>0</v>
      </c>
      <c r="T674" t="s">
        <v>4305</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4307</v>
      </c>
      <c r="B675">
        <v>1980</v>
      </c>
      <c r="C675" t="s">
        <v>173</v>
      </c>
      <c r="D675" t="s">
        <v>1136</v>
      </c>
      <c r="E675" t="str">
        <f t="shared" si="10"/>
        <v>City of Stanton</v>
      </c>
      <c r="F675">
        <v>2800</v>
      </c>
      <c r="G675" t="s">
        <v>4308</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4309</v>
      </c>
      <c r="B676">
        <v>1980</v>
      </c>
      <c r="C676" t="s">
        <v>173</v>
      </c>
      <c r="D676" t="s">
        <v>1138</v>
      </c>
      <c r="E676" t="str">
        <f t="shared" si="10"/>
        <v>City of Stockton</v>
      </c>
      <c r="F676">
        <v>2805</v>
      </c>
      <c r="G676" t="s">
        <v>4310</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4311</v>
      </c>
      <c r="B677">
        <v>1980</v>
      </c>
      <c r="C677" t="s">
        <v>173</v>
      </c>
      <c r="D677" t="s">
        <v>4312</v>
      </c>
      <c r="E677" t="str">
        <f t="shared" si="10"/>
        <v>City of Strathmore</v>
      </c>
      <c r="F677">
        <v>2815</v>
      </c>
      <c r="G677" t="s">
        <v>4313</v>
      </c>
      <c r="H677">
        <v>1955</v>
      </c>
      <c r="I677">
        <v>0</v>
      </c>
      <c r="J677">
        <v>0</v>
      </c>
      <c r="K677">
        <v>1955</v>
      </c>
      <c r="L677">
        <v>656</v>
      </c>
      <c r="M677">
        <v>451</v>
      </c>
      <c r="N677">
        <v>205</v>
      </c>
      <c r="O677">
        <v>34900</v>
      </c>
      <c r="P677">
        <v>515</v>
      </c>
      <c r="Q677">
        <v>90</v>
      </c>
      <c r="R677">
        <v>28</v>
      </c>
      <c r="S677">
        <v>92</v>
      </c>
      <c r="T677" t="s">
        <v>4312</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4314</v>
      </c>
      <c r="B678">
        <v>1980</v>
      </c>
      <c r="C678" t="s">
        <v>173</v>
      </c>
      <c r="D678" t="s">
        <v>4315</v>
      </c>
      <c r="E678" t="str">
        <f t="shared" si="10"/>
        <v>City of Suisun City</v>
      </c>
      <c r="F678">
        <v>2820</v>
      </c>
      <c r="G678" t="s">
        <v>4316</v>
      </c>
      <c r="H678">
        <v>11087</v>
      </c>
      <c r="I678">
        <v>11087</v>
      </c>
      <c r="J678">
        <v>0</v>
      </c>
      <c r="K678">
        <v>0</v>
      </c>
      <c r="L678">
        <v>3434</v>
      </c>
      <c r="M678">
        <v>2268</v>
      </c>
      <c r="N678">
        <v>1166</v>
      </c>
      <c r="O678">
        <v>67200</v>
      </c>
      <c r="P678">
        <v>2921</v>
      </c>
      <c r="Q678">
        <v>534</v>
      </c>
      <c r="R678">
        <v>138</v>
      </c>
      <c r="S678">
        <v>59</v>
      </c>
      <c r="T678" t="s">
        <v>4315</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4317</v>
      </c>
      <c r="B679">
        <v>1980</v>
      </c>
      <c r="C679" t="s">
        <v>173</v>
      </c>
      <c r="D679" t="s">
        <v>4318</v>
      </c>
      <c r="E679" t="str">
        <f t="shared" si="10"/>
        <v>City of Summit City</v>
      </c>
      <c r="F679">
        <v>2822</v>
      </c>
      <c r="G679" t="s">
        <v>4319</v>
      </c>
      <c r="H679">
        <v>1136</v>
      </c>
      <c r="I679">
        <v>1136</v>
      </c>
      <c r="J679">
        <v>0</v>
      </c>
      <c r="K679">
        <v>0</v>
      </c>
      <c r="L679">
        <v>446</v>
      </c>
      <c r="M679">
        <v>348</v>
      </c>
      <c r="N679">
        <v>98</v>
      </c>
      <c r="O679">
        <v>58700</v>
      </c>
      <c r="P679">
        <v>333</v>
      </c>
      <c r="Q679">
        <v>13</v>
      </c>
      <c r="R679">
        <v>12</v>
      </c>
      <c r="S679">
        <v>113</v>
      </c>
      <c r="T679" t="s">
        <v>4318</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4320</v>
      </c>
      <c r="B680">
        <v>1980</v>
      </c>
      <c r="C680" t="s">
        <v>173</v>
      </c>
      <c r="D680" t="s">
        <v>4321</v>
      </c>
      <c r="E680" t="str">
        <f t="shared" si="10"/>
        <v>City of Sun City</v>
      </c>
      <c r="F680">
        <v>2823</v>
      </c>
      <c r="G680" t="s">
        <v>4322</v>
      </c>
      <c r="H680">
        <v>8460</v>
      </c>
      <c r="I680">
        <v>0</v>
      </c>
      <c r="J680">
        <v>8460</v>
      </c>
      <c r="K680">
        <v>0</v>
      </c>
      <c r="L680">
        <v>5002</v>
      </c>
      <c r="M680">
        <v>4544</v>
      </c>
      <c r="N680">
        <v>458</v>
      </c>
      <c r="O680">
        <v>58600</v>
      </c>
      <c r="P680">
        <v>4663</v>
      </c>
      <c r="Q680">
        <v>69</v>
      </c>
      <c r="R680">
        <v>138</v>
      </c>
      <c r="S680">
        <v>479</v>
      </c>
      <c r="T680" t="s">
        <v>4321</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4323</v>
      </c>
      <c r="B681">
        <v>1980</v>
      </c>
      <c r="C681" t="s">
        <v>173</v>
      </c>
      <c r="D681" t="s">
        <v>4324</v>
      </c>
      <c r="E681" t="str">
        <f t="shared" si="10"/>
        <v>City of Sunnymead</v>
      </c>
      <c r="F681">
        <v>2830</v>
      </c>
      <c r="G681" t="s">
        <v>4325</v>
      </c>
      <c r="H681">
        <v>11554</v>
      </c>
      <c r="I681">
        <v>0</v>
      </c>
      <c r="J681">
        <v>11554</v>
      </c>
      <c r="K681">
        <v>0</v>
      </c>
      <c r="L681">
        <v>3713</v>
      </c>
      <c r="M681">
        <v>2283</v>
      </c>
      <c r="N681">
        <v>1430</v>
      </c>
      <c r="O681">
        <v>63300</v>
      </c>
      <c r="P681">
        <v>3760</v>
      </c>
      <c r="Q681">
        <v>424</v>
      </c>
      <c r="R681">
        <v>126</v>
      </c>
      <c r="S681">
        <v>6</v>
      </c>
      <c r="T681" t="s">
        <v>4324</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4326</v>
      </c>
      <c r="B682">
        <v>1980</v>
      </c>
      <c r="C682" t="s">
        <v>173</v>
      </c>
      <c r="D682" t="s">
        <v>4327</v>
      </c>
      <c r="E682" t="str">
        <f t="shared" si="10"/>
        <v>City of Sunnyside-Tahoe City</v>
      </c>
      <c r="F682">
        <v>2833</v>
      </c>
      <c r="G682" t="s">
        <v>4328</v>
      </c>
      <c r="H682">
        <v>1836</v>
      </c>
      <c r="I682">
        <v>0</v>
      </c>
      <c r="J682">
        <v>0</v>
      </c>
      <c r="K682">
        <v>1836</v>
      </c>
      <c r="L682">
        <v>756</v>
      </c>
      <c r="M682">
        <v>348</v>
      </c>
      <c r="N682">
        <v>408</v>
      </c>
      <c r="O682">
        <v>117800</v>
      </c>
      <c r="P682">
        <v>601</v>
      </c>
      <c r="Q682">
        <v>232</v>
      </c>
      <c r="R682">
        <v>34</v>
      </c>
      <c r="S682">
        <v>55</v>
      </c>
      <c r="T682" t="s">
        <v>4327</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4329</v>
      </c>
      <c r="B683">
        <v>1980</v>
      </c>
      <c r="C683" t="s">
        <v>173</v>
      </c>
      <c r="D683" t="s">
        <v>1140</v>
      </c>
      <c r="E683" t="str">
        <f t="shared" si="10"/>
        <v>City of Sunnyvale</v>
      </c>
      <c r="F683">
        <v>2835</v>
      </c>
      <c r="G683" t="s">
        <v>4330</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4331</v>
      </c>
      <c r="B684">
        <v>1980</v>
      </c>
      <c r="C684" t="s">
        <v>173</v>
      </c>
      <c r="D684" t="s">
        <v>1142</v>
      </c>
      <c r="E684" t="str">
        <f t="shared" si="10"/>
        <v>City of Susanville</v>
      </c>
      <c r="F684">
        <v>2845</v>
      </c>
      <c r="G684" t="s">
        <v>4332</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4333</v>
      </c>
      <c r="B685">
        <v>1980</v>
      </c>
      <c r="C685" t="s">
        <v>173</v>
      </c>
      <c r="D685" t="s">
        <v>1287</v>
      </c>
      <c r="E685" t="str">
        <f t="shared" si="10"/>
        <v>City of Sutter</v>
      </c>
      <c r="F685">
        <v>2850</v>
      </c>
      <c r="G685" t="s">
        <v>4334</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4335</v>
      </c>
      <c r="B686">
        <v>1980</v>
      </c>
      <c r="C686" t="s">
        <v>173</v>
      </c>
      <c r="D686" t="s">
        <v>1144</v>
      </c>
      <c r="E686" t="str">
        <f t="shared" si="10"/>
        <v>City of Sutter Creek</v>
      </c>
      <c r="F686">
        <v>2855</v>
      </c>
      <c r="G686" t="s">
        <v>4336</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4337</v>
      </c>
      <c r="B687">
        <v>1980</v>
      </c>
      <c r="C687" t="s">
        <v>173</v>
      </c>
      <c r="D687" t="s">
        <v>1146</v>
      </c>
      <c r="E687" t="str">
        <f t="shared" si="10"/>
        <v>City of Taft</v>
      </c>
      <c r="F687">
        <v>2860</v>
      </c>
      <c r="G687" t="s">
        <v>4338</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4339</v>
      </c>
      <c r="B688">
        <v>1980</v>
      </c>
      <c r="C688" t="s">
        <v>173</v>
      </c>
      <c r="D688" t="s">
        <v>4340</v>
      </c>
      <c r="E688" t="str">
        <f t="shared" si="10"/>
        <v>City of Taft Heights</v>
      </c>
      <c r="F688">
        <v>2865</v>
      </c>
      <c r="G688" t="s">
        <v>4341</v>
      </c>
      <c r="H688">
        <v>2111</v>
      </c>
      <c r="I688">
        <v>0</v>
      </c>
      <c r="J688">
        <v>0</v>
      </c>
      <c r="K688">
        <v>2111</v>
      </c>
      <c r="L688">
        <v>801</v>
      </c>
      <c r="M688">
        <v>569</v>
      </c>
      <c r="N688">
        <v>232</v>
      </c>
      <c r="O688">
        <v>42000</v>
      </c>
      <c r="P688">
        <v>775</v>
      </c>
      <c r="Q688">
        <v>70</v>
      </c>
      <c r="R688">
        <v>0</v>
      </c>
      <c r="S688">
        <v>3</v>
      </c>
      <c r="T688" t="s">
        <v>4340</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4342</v>
      </c>
      <c r="B689">
        <v>1980</v>
      </c>
      <c r="C689" t="s">
        <v>173</v>
      </c>
      <c r="D689" t="s">
        <v>4343</v>
      </c>
      <c r="E689" t="str">
        <f t="shared" si="10"/>
        <v>City of Talmage</v>
      </c>
      <c r="F689">
        <v>2867</v>
      </c>
      <c r="G689" t="s">
        <v>4344</v>
      </c>
      <c r="H689">
        <v>1514</v>
      </c>
      <c r="I689">
        <v>0</v>
      </c>
      <c r="J689">
        <v>0</v>
      </c>
      <c r="K689">
        <v>1514</v>
      </c>
      <c r="L689">
        <v>574</v>
      </c>
      <c r="M689">
        <v>409</v>
      </c>
      <c r="N689">
        <v>165</v>
      </c>
      <c r="O689">
        <v>82500</v>
      </c>
      <c r="P689">
        <v>490</v>
      </c>
      <c r="Q689">
        <v>41</v>
      </c>
      <c r="R689">
        <v>19</v>
      </c>
      <c r="S689">
        <v>42</v>
      </c>
      <c r="T689" t="s">
        <v>4343</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4345</v>
      </c>
      <c r="B690">
        <v>1980</v>
      </c>
      <c r="C690" t="s">
        <v>173</v>
      </c>
      <c r="D690" t="s">
        <v>4346</v>
      </c>
      <c r="E690" t="str">
        <f t="shared" si="10"/>
        <v>City of Tamalpais-Homestead Valley</v>
      </c>
      <c r="F690">
        <v>2869</v>
      </c>
      <c r="G690" t="s">
        <v>4347</v>
      </c>
      <c r="H690">
        <v>8511</v>
      </c>
      <c r="I690">
        <v>8511</v>
      </c>
      <c r="J690">
        <v>0</v>
      </c>
      <c r="K690">
        <v>0</v>
      </c>
      <c r="L690">
        <v>3569</v>
      </c>
      <c r="M690">
        <v>2495</v>
      </c>
      <c r="N690">
        <v>1074</v>
      </c>
      <c r="O690">
        <v>165200</v>
      </c>
      <c r="P690">
        <v>3147</v>
      </c>
      <c r="Q690">
        <v>458</v>
      </c>
      <c r="R690">
        <v>97</v>
      </c>
      <c r="S690">
        <v>1</v>
      </c>
      <c r="T690" t="s">
        <v>4346</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4348</v>
      </c>
      <c r="B691">
        <v>1980</v>
      </c>
      <c r="C691" t="s">
        <v>173</v>
      </c>
      <c r="D691" t="s">
        <v>4349</v>
      </c>
      <c r="E691" t="str">
        <f t="shared" si="10"/>
        <v>City of Tara Hills-Montalvin Manor</v>
      </c>
      <c r="F691">
        <v>2871</v>
      </c>
      <c r="G691" t="s">
        <v>4350</v>
      </c>
      <c r="H691">
        <v>9471</v>
      </c>
      <c r="I691">
        <v>9471</v>
      </c>
      <c r="J691">
        <v>0</v>
      </c>
      <c r="K691">
        <v>0</v>
      </c>
      <c r="L691">
        <v>2930</v>
      </c>
      <c r="M691">
        <v>2472</v>
      </c>
      <c r="N691">
        <v>458</v>
      </c>
      <c r="O691">
        <v>70500</v>
      </c>
      <c r="P691">
        <v>2699</v>
      </c>
      <c r="Q691">
        <v>49</v>
      </c>
      <c r="R691">
        <v>3</v>
      </c>
      <c r="S691">
        <v>219</v>
      </c>
      <c r="T691" t="s">
        <v>4349</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4351</v>
      </c>
      <c r="B692">
        <v>1980</v>
      </c>
      <c r="C692" t="s">
        <v>173</v>
      </c>
      <c r="D692" t="s">
        <v>1148</v>
      </c>
      <c r="E692" t="str">
        <f t="shared" si="10"/>
        <v>City of Tehachapi</v>
      </c>
      <c r="F692">
        <v>2873</v>
      </c>
      <c r="G692" t="s">
        <v>4352</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4353</v>
      </c>
      <c r="B693">
        <v>1980</v>
      </c>
      <c r="C693" t="s">
        <v>173</v>
      </c>
      <c r="D693" t="s">
        <v>1150</v>
      </c>
      <c r="E693" t="str">
        <f t="shared" si="10"/>
        <v>City of Tehama</v>
      </c>
      <c r="F693">
        <v>2875</v>
      </c>
      <c r="G693" t="s">
        <v>4354</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4355</v>
      </c>
      <c r="B694">
        <v>1980</v>
      </c>
      <c r="C694" t="s">
        <v>173</v>
      </c>
      <c r="D694" t="s">
        <v>1152</v>
      </c>
      <c r="E694" t="str">
        <f t="shared" si="10"/>
        <v>City of Temecula</v>
      </c>
      <c r="F694">
        <v>2878</v>
      </c>
      <c r="G694" t="s">
        <v>4356</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4357</v>
      </c>
      <c r="B695">
        <v>1980</v>
      </c>
      <c r="C695" t="s">
        <v>173</v>
      </c>
      <c r="D695" t="s">
        <v>1154</v>
      </c>
      <c r="E695" t="str">
        <f t="shared" si="10"/>
        <v>City of Temple City</v>
      </c>
      <c r="F695">
        <v>2880</v>
      </c>
      <c r="G695" t="s">
        <v>4358</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4359</v>
      </c>
      <c r="B696">
        <v>1980</v>
      </c>
      <c r="C696" t="s">
        <v>173</v>
      </c>
      <c r="D696" t="s">
        <v>4360</v>
      </c>
      <c r="E696" t="str">
        <f t="shared" si="10"/>
        <v>City of Terra Bella</v>
      </c>
      <c r="F696">
        <v>2885</v>
      </c>
      <c r="G696" t="s">
        <v>4361</v>
      </c>
      <c r="H696">
        <v>1807</v>
      </c>
      <c r="I696">
        <v>0</v>
      </c>
      <c r="J696">
        <v>0</v>
      </c>
      <c r="K696">
        <v>1807</v>
      </c>
      <c r="L696">
        <v>487</v>
      </c>
      <c r="M696">
        <v>326</v>
      </c>
      <c r="N696">
        <v>161</v>
      </c>
      <c r="O696">
        <v>36000</v>
      </c>
      <c r="P696">
        <v>379</v>
      </c>
      <c r="Q696">
        <v>78</v>
      </c>
      <c r="R696">
        <v>10</v>
      </c>
      <c r="S696">
        <v>51</v>
      </c>
      <c r="T696" t="s">
        <v>4360</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4362</v>
      </c>
      <c r="B697">
        <v>1980</v>
      </c>
      <c r="C697" t="s">
        <v>173</v>
      </c>
      <c r="D697" t="s">
        <v>4363</v>
      </c>
      <c r="E697" t="str">
        <f t="shared" si="10"/>
        <v>City of Thermalito</v>
      </c>
      <c r="F697">
        <v>2892</v>
      </c>
      <c r="G697" t="s">
        <v>4364</v>
      </c>
      <c r="H697">
        <v>4961</v>
      </c>
      <c r="I697">
        <v>0</v>
      </c>
      <c r="J697">
        <v>4961</v>
      </c>
      <c r="K697">
        <v>0</v>
      </c>
      <c r="L697">
        <v>1720</v>
      </c>
      <c r="M697">
        <v>1304</v>
      </c>
      <c r="N697">
        <v>416</v>
      </c>
      <c r="O697">
        <v>43400</v>
      </c>
      <c r="P697">
        <v>1427</v>
      </c>
      <c r="Q697">
        <v>122</v>
      </c>
      <c r="R697">
        <v>3</v>
      </c>
      <c r="S697">
        <v>253</v>
      </c>
      <c r="T697" t="s">
        <v>4363</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4365</v>
      </c>
      <c r="B698">
        <v>1980</v>
      </c>
      <c r="C698" t="s">
        <v>173</v>
      </c>
      <c r="D698" t="s">
        <v>1156</v>
      </c>
      <c r="E698" t="str">
        <f t="shared" si="10"/>
        <v>City of Thousand Oaks</v>
      </c>
      <c r="F698">
        <v>2897</v>
      </c>
      <c r="G698" t="s">
        <v>4366</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4367</v>
      </c>
      <c r="B699">
        <v>1980</v>
      </c>
      <c r="C699" t="s">
        <v>173</v>
      </c>
      <c r="D699" t="s">
        <v>4368</v>
      </c>
      <c r="E699" t="str">
        <f t="shared" si="10"/>
        <v>City of Thousand Palms</v>
      </c>
      <c r="F699">
        <v>2899</v>
      </c>
      <c r="G699" t="s">
        <v>4369</v>
      </c>
      <c r="H699">
        <v>1718</v>
      </c>
      <c r="I699">
        <v>0</v>
      </c>
      <c r="J699">
        <v>0</v>
      </c>
      <c r="K699">
        <v>1718</v>
      </c>
      <c r="L699">
        <v>811</v>
      </c>
      <c r="M699">
        <v>706</v>
      </c>
      <c r="N699">
        <v>105</v>
      </c>
      <c r="O699">
        <v>46100</v>
      </c>
      <c r="P699">
        <v>588</v>
      </c>
      <c r="Q699">
        <v>21</v>
      </c>
      <c r="R699">
        <v>0</v>
      </c>
      <c r="S699">
        <v>798</v>
      </c>
      <c r="T699" t="s">
        <v>4368</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4370</v>
      </c>
      <c r="B700">
        <v>1980</v>
      </c>
      <c r="C700" t="s">
        <v>173</v>
      </c>
      <c r="D700" t="s">
        <v>1158</v>
      </c>
      <c r="E700" t="str">
        <f t="shared" si="10"/>
        <v>City of Tiburon</v>
      </c>
      <c r="F700">
        <v>2903</v>
      </c>
      <c r="G700" t="s">
        <v>4371</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4372</v>
      </c>
      <c r="B701">
        <v>1980</v>
      </c>
      <c r="C701" t="s">
        <v>173</v>
      </c>
      <c r="D701" t="s">
        <v>4373</v>
      </c>
      <c r="E701" t="str">
        <f t="shared" si="10"/>
        <v>City of Tierra Buena</v>
      </c>
      <c r="F701">
        <v>2906</v>
      </c>
      <c r="G701" t="s">
        <v>4374</v>
      </c>
      <c r="H701">
        <v>2374</v>
      </c>
      <c r="I701">
        <v>2374</v>
      </c>
      <c r="J701">
        <v>0</v>
      </c>
      <c r="K701">
        <v>0</v>
      </c>
      <c r="L701">
        <v>777</v>
      </c>
      <c r="M701">
        <v>594</v>
      </c>
      <c r="N701">
        <v>183</v>
      </c>
      <c r="O701">
        <v>62600</v>
      </c>
      <c r="P701">
        <v>694</v>
      </c>
      <c r="Q701">
        <v>70</v>
      </c>
      <c r="R701">
        <v>7</v>
      </c>
      <c r="S701">
        <v>44</v>
      </c>
      <c r="T701" t="s">
        <v>4373</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4375</v>
      </c>
      <c r="B702">
        <v>1980</v>
      </c>
      <c r="C702" t="s">
        <v>173</v>
      </c>
      <c r="D702" t="s">
        <v>4376</v>
      </c>
      <c r="E702" t="str">
        <f t="shared" si="10"/>
        <v>City of Tipton</v>
      </c>
      <c r="F702">
        <v>2908</v>
      </c>
      <c r="G702" t="s">
        <v>4377</v>
      </c>
      <c r="H702">
        <v>1185</v>
      </c>
      <c r="I702">
        <v>0</v>
      </c>
      <c r="J702">
        <v>0</v>
      </c>
      <c r="K702">
        <v>1185</v>
      </c>
      <c r="L702">
        <v>372</v>
      </c>
      <c r="M702">
        <v>260</v>
      </c>
      <c r="N702">
        <v>112</v>
      </c>
      <c r="O702">
        <v>34000</v>
      </c>
      <c r="P702">
        <v>375</v>
      </c>
      <c r="Q702">
        <v>28</v>
      </c>
      <c r="R702">
        <v>0</v>
      </c>
      <c r="S702">
        <v>11</v>
      </c>
      <c r="T702" t="s">
        <v>4376</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4378</v>
      </c>
      <c r="B703">
        <v>1980</v>
      </c>
      <c r="C703" t="s">
        <v>173</v>
      </c>
      <c r="D703" t="s">
        <v>1160</v>
      </c>
      <c r="E703" t="str">
        <f t="shared" si="10"/>
        <v>City of Torrance</v>
      </c>
      <c r="F703">
        <v>2910</v>
      </c>
      <c r="G703" t="s">
        <v>4379</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4380</v>
      </c>
      <c r="B704">
        <v>1980</v>
      </c>
      <c r="C704" t="s">
        <v>173</v>
      </c>
      <c r="D704" t="s">
        <v>1162</v>
      </c>
      <c r="E704" t="str">
        <f t="shared" si="10"/>
        <v>City of Tracy</v>
      </c>
      <c r="F704">
        <v>2915</v>
      </c>
      <c r="G704" t="s">
        <v>4381</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4382</v>
      </c>
      <c r="B705">
        <v>1980</v>
      </c>
      <c r="C705" t="s">
        <v>173</v>
      </c>
      <c r="D705" t="s">
        <v>1164</v>
      </c>
      <c r="E705" t="str">
        <f t="shared" si="10"/>
        <v>City of Trinidad</v>
      </c>
      <c r="F705">
        <v>2925</v>
      </c>
      <c r="G705" t="s">
        <v>4383</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4384</v>
      </c>
      <c r="B706">
        <v>1980</v>
      </c>
      <c r="C706" t="s">
        <v>173</v>
      </c>
      <c r="D706" t="s">
        <v>1166</v>
      </c>
      <c r="E706" t="str">
        <f t="shared" si="10"/>
        <v>City of Truckee</v>
      </c>
      <c r="F706">
        <v>2940</v>
      </c>
      <c r="G706" t="s">
        <v>4385</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4386</v>
      </c>
      <c r="B707">
        <v>1980</v>
      </c>
      <c r="C707" t="s">
        <v>173</v>
      </c>
      <c r="D707" t="s">
        <v>1168</v>
      </c>
      <c r="E707" t="str">
        <f t="shared" si="10"/>
        <v>City of Tulare</v>
      </c>
      <c r="F707">
        <v>2945</v>
      </c>
      <c r="G707" t="s">
        <v>4387</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4388</v>
      </c>
      <c r="B708">
        <v>1980</v>
      </c>
      <c r="C708" t="s">
        <v>173</v>
      </c>
      <c r="D708" t="s">
        <v>4389</v>
      </c>
      <c r="E708" t="str">
        <f t="shared" si="10"/>
        <v>City of Tulare East</v>
      </c>
      <c r="F708">
        <v>2947</v>
      </c>
      <c r="G708" t="s">
        <v>4390</v>
      </c>
      <c r="H708">
        <v>2168</v>
      </c>
      <c r="I708">
        <v>0</v>
      </c>
      <c r="J708">
        <v>0</v>
      </c>
      <c r="K708">
        <v>2168</v>
      </c>
      <c r="L708">
        <v>628</v>
      </c>
      <c r="M708">
        <v>504</v>
      </c>
      <c r="N708">
        <v>124</v>
      </c>
      <c r="O708">
        <v>47200</v>
      </c>
      <c r="P708">
        <v>592</v>
      </c>
      <c r="Q708">
        <v>37</v>
      </c>
      <c r="R708">
        <v>3</v>
      </c>
      <c r="S708">
        <v>5</v>
      </c>
      <c r="T708" t="s">
        <v>4389</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4391</v>
      </c>
      <c r="B709">
        <v>1980</v>
      </c>
      <c r="C709" t="s">
        <v>173</v>
      </c>
      <c r="D709" t="s">
        <v>4392</v>
      </c>
      <c r="E709" t="str">
        <f t="shared" ref="E709:E772" si="11">_xlfn.CONCAT("City of ",D709)</f>
        <v>City of Tulare Northwest</v>
      </c>
      <c r="F709">
        <v>2948</v>
      </c>
      <c r="G709" t="s">
        <v>4393</v>
      </c>
      <c r="H709">
        <v>1936</v>
      </c>
      <c r="I709">
        <v>0</v>
      </c>
      <c r="J709">
        <v>0</v>
      </c>
      <c r="K709">
        <v>1936</v>
      </c>
      <c r="L709">
        <v>637</v>
      </c>
      <c r="M709">
        <v>476</v>
      </c>
      <c r="N709">
        <v>161</v>
      </c>
      <c r="O709">
        <v>54000</v>
      </c>
      <c r="P709">
        <v>602</v>
      </c>
      <c r="Q709">
        <v>25</v>
      </c>
      <c r="R709">
        <v>15</v>
      </c>
      <c r="S709">
        <v>14</v>
      </c>
      <c r="T709" t="s">
        <v>4392</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4394</v>
      </c>
      <c r="B710">
        <v>1980</v>
      </c>
      <c r="C710" t="s">
        <v>173</v>
      </c>
      <c r="D710" t="s">
        <v>1170</v>
      </c>
      <c r="E710" t="str">
        <f t="shared" si="11"/>
        <v>City of Tulelake</v>
      </c>
      <c r="F710">
        <v>2950</v>
      </c>
      <c r="G710" t="s">
        <v>4395</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4396</v>
      </c>
      <c r="B711">
        <v>1980</v>
      </c>
      <c r="C711" t="s">
        <v>173</v>
      </c>
      <c r="D711" t="s">
        <v>4397</v>
      </c>
      <c r="E711" t="str">
        <f t="shared" si="11"/>
        <v>City of Tuolumne City</v>
      </c>
      <c r="F711">
        <v>2955</v>
      </c>
      <c r="G711" t="s">
        <v>4398</v>
      </c>
      <c r="H711">
        <v>1708</v>
      </c>
      <c r="I711">
        <v>0</v>
      </c>
      <c r="J711">
        <v>0</v>
      </c>
      <c r="K711">
        <v>1708</v>
      </c>
      <c r="L711">
        <v>685</v>
      </c>
      <c r="M711">
        <v>393</v>
      </c>
      <c r="N711">
        <v>292</v>
      </c>
      <c r="O711">
        <v>43000</v>
      </c>
      <c r="P711">
        <v>589</v>
      </c>
      <c r="Q711">
        <v>91</v>
      </c>
      <c r="R711">
        <v>30</v>
      </c>
      <c r="S711">
        <v>59</v>
      </c>
      <c r="T711" t="s">
        <v>4397</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4399</v>
      </c>
      <c r="B712">
        <v>1980</v>
      </c>
      <c r="C712" t="s">
        <v>173</v>
      </c>
      <c r="D712" t="s">
        <v>1172</v>
      </c>
      <c r="E712" t="str">
        <f t="shared" si="11"/>
        <v>City of Turlock</v>
      </c>
      <c r="F712">
        <v>2960</v>
      </c>
      <c r="G712" t="s">
        <v>4400</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4401</v>
      </c>
      <c r="B713">
        <v>1980</v>
      </c>
      <c r="C713" t="s">
        <v>173</v>
      </c>
      <c r="D713" t="s">
        <v>1174</v>
      </c>
      <c r="E713" t="str">
        <f t="shared" si="11"/>
        <v>City of Tustin</v>
      </c>
      <c r="F713">
        <v>2965</v>
      </c>
      <c r="G713" t="s">
        <v>4402</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4403</v>
      </c>
      <c r="B714">
        <v>1980</v>
      </c>
      <c r="C714" t="s">
        <v>173</v>
      </c>
      <c r="D714" t="s">
        <v>4404</v>
      </c>
      <c r="E714" t="str">
        <f t="shared" si="11"/>
        <v>City of Tustin Foothills</v>
      </c>
      <c r="F714">
        <v>2967</v>
      </c>
      <c r="G714" t="s">
        <v>4405</v>
      </c>
      <c r="H714">
        <v>26174</v>
      </c>
      <c r="I714">
        <v>26174</v>
      </c>
      <c r="J714">
        <v>0</v>
      </c>
      <c r="K714">
        <v>0</v>
      </c>
      <c r="L714">
        <v>8039</v>
      </c>
      <c r="M714">
        <v>7341</v>
      </c>
      <c r="N714">
        <v>698</v>
      </c>
      <c r="O714">
        <v>158900</v>
      </c>
      <c r="P714">
        <v>7914</v>
      </c>
      <c r="Q714">
        <v>194</v>
      </c>
      <c r="R714">
        <v>96</v>
      </c>
      <c r="S714">
        <v>3</v>
      </c>
      <c r="T714" t="s">
        <v>4404</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4406</v>
      </c>
      <c r="B715">
        <v>1980</v>
      </c>
      <c r="C715" t="s">
        <v>173</v>
      </c>
      <c r="D715" t="s">
        <v>4407</v>
      </c>
      <c r="E715" t="str">
        <f t="shared" si="11"/>
        <v>City of Twain Harte</v>
      </c>
      <c r="F715">
        <v>2970</v>
      </c>
      <c r="G715" t="s">
        <v>4408</v>
      </c>
      <c r="H715">
        <v>1369</v>
      </c>
      <c r="I715">
        <v>0</v>
      </c>
      <c r="J715">
        <v>0</v>
      </c>
      <c r="K715">
        <v>1369</v>
      </c>
      <c r="L715">
        <v>550</v>
      </c>
      <c r="M715">
        <v>323</v>
      </c>
      <c r="N715">
        <v>227</v>
      </c>
      <c r="O715">
        <v>64400</v>
      </c>
      <c r="P715">
        <v>1109</v>
      </c>
      <c r="Q715">
        <v>76</v>
      </c>
      <c r="R715">
        <v>11</v>
      </c>
      <c r="S715">
        <v>6</v>
      </c>
      <c r="T715" t="s">
        <v>4407</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4409</v>
      </c>
      <c r="B716">
        <v>1980</v>
      </c>
      <c r="C716" t="s">
        <v>173</v>
      </c>
      <c r="D716" t="s">
        <v>1176</v>
      </c>
      <c r="E716" t="str">
        <f t="shared" si="11"/>
        <v>City of Twentynine Palms</v>
      </c>
      <c r="F716">
        <v>2971</v>
      </c>
      <c r="G716" t="s">
        <v>4410</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4411</v>
      </c>
      <c r="B717">
        <v>1980</v>
      </c>
      <c r="C717" t="s">
        <v>173</v>
      </c>
      <c r="D717" t="s">
        <v>4412</v>
      </c>
      <c r="E717" t="str">
        <f t="shared" si="11"/>
        <v>City of Twentynine Palms Base</v>
      </c>
      <c r="F717">
        <v>2972</v>
      </c>
      <c r="G717" t="s">
        <v>4413</v>
      </c>
      <c r="H717">
        <v>7079</v>
      </c>
      <c r="I717">
        <v>0</v>
      </c>
      <c r="J717">
        <v>7079</v>
      </c>
      <c r="K717">
        <v>0</v>
      </c>
      <c r="L717">
        <v>744</v>
      </c>
      <c r="M717">
        <v>4</v>
      </c>
      <c r="N717">
        <v>740</v>
      </c>
      <c r="O717">
        <v>0</v>
      </c>
      <c r="P717">
        <v>684</v>
      </c>
      <c r="Q717">
        <v>94</v>
      </c>
      <c r="R717">
        <v>2</v>
      </c>
      <c r="S717">
        <v>4</v>
      </c>
      <c r="T717" t="s">
        <v>4412</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4414</v>
      </c>
      <c r="B718">
        <v>1980</v>
      </c>
      <c r="C718" t="s">
        <v>173</v>
      </c>
      <c r="D718" t="s">
        <v>4415</v>
      </c>
      <c r="E718" t="str">
        <f t="shared" si="11"/>
        <v>City of Twin Lakes</v>
      </c>
      <c r="F718">
        <v>2975</v>
      </c>
      <c r="G718" t="s">
        <v>4416</v>
      </c>
      <c r="H718">
        <v>4502</v>
      </c>
      <c r="I718">
        <v>4502</v>
      </c>
      <c r="J718">
        <v>0</v>
      </c>
      <c r="K718">
        <v>0</v>
      </c>
      <c r="L718">
        <v>2190</v>
      </c>
      <c r="M718">
        <v>729</v>
      </c>
      <c r="N718">
        <v>1461</v>
      </c>
      <c r="O718">
        <v>94100</v>
      </c>
      <c r="P718">
        <v>1182</v>
      </c>
      <c r="Q718">
        <v>480</v>
      </c>
      <c r="R718">
        <v>518</v>
      </c>
      <c r="S718">
        <v>252</v>
      </c>
      <c r="T718" t="s">
        <v>4415</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4417</v>
      </c>
      <c r="B719">
        <v>1980</v>
      </c>
      <c r="C719" t="s">
        <v>173</v>
      </c>
      <c r="D719" t="s">
        <v>1178</v>
      </c>
      <c r="E719" t="str">
        <f t="shared" si="11"/>
        <v>City of Ukiah</v>
      </c>
      <c r="F719">
        <v>2980</v>
      </c>
      <c r="G719" t="s">
        <v>4418</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4419</v>
      </c>
      <c r="B720">
        <v>1980</v>
      </c>
      <c r="C720" t="s">
        <v>173</v>
      </c>
      <c r="D720" t="s">
        <v>1182</v>
      </c>
      <c r="E720" t="str">
        <f t="shared" si="11"/>
        <v>City of Union City</v>
      </c>
      <c r="F720">
        <v>2985</v>
      </c>
      <c r="G720" t="s">
        <v>4420</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4421</v>
      </c>
      <c r="B721">
        <v>1980</v>
      </c>
      <c r="C721" t="s">
        <v>173</v>
      </c>
      <c r="D721" t="s">
        <v>1184</v>
      </c>
      <c r="E721" t="str">
        <f t="shared" si="11"/>
        <v>City of Upland</v>
      </c>
      <c r="F721">
        <v>2990</v>
      </c>
      <c r="G721" t="s">
        <v>4422</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4423</v>
      </c>
      <c r="B722">
        <v>1980</v>
      </c>
      <c r="C722" t="s">
        <v>173</v>
      </c>
      <c r="D722" t="s">
        <v>1186</v>
      </c>
      <c r="E722" t="str">
        <f t="shared" si="11"/>
        <v>City of Vacaville</v>
      </c>
      <c r="F722">
        <v>2995</v>
      </c>
      <c r="G722" t="s">
        <v>4424</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4425</v>
      </c>
      <c r="B723">
        <v>1980</v>
      </c>
      <c r="C723" t="s">
        <v>173</v>
      </c>
      <c r="D723" t="s">
        <v>4426</v>
      </c>
      <c r="E723" t="str">
        <f t="shared" si="11"/>
        <v>City of Valencia</v>
      </c>
      <c r="F723">
        <v>2997</v>
      </c>
      <c r="G723" t="s">
        <v>4427</v>
      </c>
      <c r="H723">
        <v>12163</v>
      </c>
      <c r="I723">
        <v>12163</v>
      </c>
      <c r="J723">
        <v>0</v>
      </c>
      <c r="K723">
        <v>0</v>
      </c>
      <c r="L723">
        <v>3748</v>
      </c>
      <c r="M723">
        <v>3083</v>
      </c>
      <c r="N723">
        <v>665</v>
      </c>
      <c r="O723">
        <v>128500</v>
      </c>
      <c r="P723">
        <v>3553</v>
      </c>
      <c r="Q723">
        <v>132</v>
      </c>
      <c r="R723">
        <v>387</v>
      </c>
      <c r="S723">
        <v>0</v>
      </c>
      <c r="T723" t="s">
        <v>4426</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4428</v>
      </c>
      <c r="B724">
        <v>1980</v>
      </c>
      <c r="C724" t="s">
        <v>173</v>
      </c>
      <c r="D724" t="s">
        <v>4429</v>
      </c>
      <c r="E724" t="str">
        <f t="shared" si="11"/>
        <v>City of Valinda</v>
      </c>
      <c r="F724">
        <v>2998</v>
      </c>
      <c r="G724" t="s">
        <v>4430</v>
      </c>
      <c r="H724">
        <v>18700</v>
      </c>
      <c r="I724">
        <v>18700</v>
      </c>
      <c r="J724">
        <v>0</v>
      </c>
      <c r="K724">
        <v>0</v>
      </c>
      <c r="L724">
        <v>5023</v>
      </c>
      <c r="M724">
        <v>4169</v>
      </c>
      <c r="N724">
        <v>854</v>
      </c>
      <c r="O724">
        <v>67800</v>
      </c>
      <c r="P724">
        <v>4839</v>
      </c>
      <c r="Q724">
        <v>197</v>
      </c>
      <c r="R724">
        <v>101</v>
      </c>
      <c r="S724">
        <v>5</v>
      </c>
      <c r="T724" t="s">
        <v>4429</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4431</v>
      </c>
      <c r="B725">
        <v>1980</v>
      </c>
      <c r="C725" t="s">
        <v>173</v>
      </c>
      <c r="D725" t="s">
        <v>1188</v>
      </c>
      <c r="E725" t="str">
        <f t="shared" si="11"/>
        <v>City of Vallejo</v>
      </c>
      <c r="F725">
        <v>3000</v>
      </c>
      <c r="G725" t="s">
        <v>4432</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4433</v>
      </c>
      <c r="B726">
        <v>1980</v>
      </c>
      <c r="C726" t="s">
        <v>173</v>
      </c>
      <c r="D726" t="s">
        <v>4434</v>
      </c>
      <c r="E726" t="str">
        <f t="shared" si="11"/>
        <v>City of Valle Vista</v>
      </c>
      <c r="F726">
        <v>3001</v>
      </c>
      <c r="G726" t="s">
        <v>4435</v>
      </c>
      <c r="H726">
        <v>5474</v>
      </c>
      <c r="I726">
        <v>5474</v>
      </c>
      <c r="J726">
        <v>0</v>
      </c>
      <c r="K726">
        <v>0</v>
      </c>
      <c r="L726">
        <v>2794</v>
      </c>
      <c r="M726">
        <v>2290</v>
      </c>
      <c r="N726">
        <v>504</v>
      </c>
      <c r="O726">
        <v>59500</v>
      </c>
      <c r="P726">
        <v>1193</v>
      </c>
      <c r="Q726">
        <v>70</v>
      </c>
      <c r="R726">
        <v>141</v>
      </c>
      <c r="S726">
        <v>1598</v>
      </c>
      <c r="T726" t="s">
        <v>4434</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4436</v>
      </c>
      <c r="B727">
        <v>1980</v>
      </c>
      <c r="C727" t="s">
        <v>173</v>
      </c>
      <c r="D727" t="s">
        <v>4437</v>
      </c>
      <c r="E727" t="str">
        <f t="shared" si="11"/>
        <v>City of Valley Center</v>
      </c>
      <c r="F727">
        <v>3002</v>
      </c>
      <c r="G727" t="s">
        <v>4438</v>
      </c>
      <c r="H727">
        <v>1242</v>
      </c>
      <c r="I727">
        <v>0</v>
      </c>
      <c r="J727">
        <v>0</v>
      </c>
      <c r="K727">
        <v>1242</v>
      </c>
      <c r="L727">
        <v>396</v>
      </c>
      <c r="M727">
        <v>320</v>
      </c>
      <c r="N727">
        <v>76</v>
      </c>
      <c r="O727">
        <v>130300</v>
      </c>
      <c r="P727">
        <v>372</v>
      </c>
      <c r="Q727">
        <v>23</v>
      </c>
      <c r="R727">
        <v>0</v>
      </c>
      <c r="S727">
        <v>33</v>
      </c>
      <c r="T727" t="s">
        <v>4437</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4439</v>
      </c>
      <c r="B728">
        <v>1980</v>
      </c>
      <c r="C728" t="s">
        <v>173</v>
      </c>
      <c r="D728" t="s">
        <v>4440</v>
      </c>
      <c r="E728" t="str">
        <f t="shared" si="11"/>
        <v>City of Vandenberg AFB</v>
      </c>
      <c r="F728">
        <v>3003</v>
      </c>
      <c r="G728" t="s">
        <v>4441</v>
      </c>
      <c r="H728">
        <v>8136</v>
      </c>
      <c r="I728">
        <v>0</v>
      </c>
      <c r="J728">
        <v>8136</v>
      </c>
      <c r="K728">
        <v>0</v>
      </c>
      <c r="L728">
        <v>2113</v>
      </c>
      <c r="M728">
        <v>150</v>
      </c>
      <c r="N728">
        <v>1963</v>
      </c>
      <c r="O728">
        <v>48800</v>
      </c>
      <c r="P728">
        <v>2108</v>
      </c>
      <c r="Q728">
        <v>42</v>
      </c>
      <c r="R728">
        <v>2</v>
      </c>
      <c r="S728">
        <v>128</v>
      </c>
      <c r="T728" t="s">
        <v>4440</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4442</v>
      </c>
      <c r="B729">
        <v>1980</v>
      </c>
      <c r="C729" t="s">
        <v>173</v>
      </c>
      <c r="D729" t="s">
        <v>4443</v>
      </c>
      <c r="E729" t="str">
        <f t="shared" si="11"/>
        <v>City of Vandenberg Village</v>
      </c>
      <c r="F729">
        <v>3004</v>
      </c>
      <c r="G729" t="s">
        <v>4444</v>
      </c>
      <c r="H729">
        <v>5839</v>
      </c>
      <c r="I729">
        <v>0</v>
      </c>
      <c r="J729">
        <v>5839</v>
      </c>
      <c r="K729">
        <v>0</v>
      </c>
      <c r="L729">
        <v>1989</v>
      </c>
      <c r="M729">
        <v>1657</v>
      </c>
      <c r="N729">
        <v>332</v>
      </c>
      <c r="O729">
        <v>80200</v>
      </c>
      <c r="P729">
        <v>1923</v>
      </c>
      <c r="Q729">
        <v>58</v>
      </c>
      <c r="R729">
        <v>85</v>
      </c>
      <c r="S729">
        <v>0</v>
      </c>
      <c r="T729" t="s">
        <v>4443</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4445</v>
      </c>
      <c r="B730">
        <v>1980</v>
      </c>
      <c r="C730" t="s">
        <v>173</v>
      </c>
      <c r="D730" t="s">
        <v>1192</v>
      </c>
      <c r="E730" t="str">
        <f t="shared" si="11"/>
        <v>City of Vernon</v>
      </c>
      <c r="F730">
        <v>3005</v>
      </c>
      <c r="G730" t="s">
        <v>4446</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4447</v>
      </c>
      <c r="B731">
        <v>1980</v>
      </c>
      <c r="C731" t="s">
        <v>173</v>
      </c>
      <c r="D731" t="s">
        <v>1194</v>
      </c>
      <c r="E731" t="str">
        <f t="shared" si="11"/>
        <v>City of Victorville</v>
      </c>
      <c r="F731">
        <v>3007</v>
      </c>
      <c r="G731" t="s">
        <v>4448</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4449</v>
      </c>
      <c r="B732">
        <v>1980</v>
      </c>
      <c r="C732" t="s">
        <v>173</v>
      </c>
      <c r="D732" t="s">
        <v>4450</v>
      </c>
      <c r="E732" t="str">
        <f t="shared" si="11"/>
        <v>City of View Park-Windsor Hills</v>
      </c>
      <c r="F732">
        <v>3008</v>
      </c>
      <c r="G732" t="s">
        <v>4451</v>
      </c>
      <c r="H732">
        <v>12101</v>
      </c>
      <c r="I732">
        <v>12101</v>
      </c>
      <c r="J732">
        <v>0</v>
      </c>
      <c r="K732">
        <v>0</v>
      </c>
      <c r="L732">
        <v>4582</v>
      </c>
      <c r="M732">
        <v>3552</v>
      </c>
      <c r="N732">
        <v>1030</v>
      </c>
      <c r="O732">
        <v>113400</v>
      </c>
      <c r="P732">
        <v>4109</v>
      </c>
      <c r="Q732">
        <v>330</v>
      </c>
      <c r="R732">
        <v>239</v>
      </c>
      <c r="S732">
        <v>2</v>
      </c>
      <c r="T732" t="s">
        <v>4450</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4452</v>
      </c>
      <c r="B733">
        <v>1980</v>
      </c>
      <c r="C733" t="s">
        <v>173</v>
      </c>
      <c r="D733" t="s">
        <v>1196</v>
      </c>
      <c r="E733" t="str">
        <f t="shared" si="11"/>
        <v>City of Villa Park</v>
      </c>
      <c r="F733">
        <v>3009</v>
      </c>
      <c r="G733" t="s">
        <v>4453</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4454</v>
      </c>
      <c r="B734">
        <v>1980</v>
      </c>
      <c r="C734" t="s">
        <v>173</v>
      </c>
      <c r="D734" t="s">
        <v>4455</v>
      </c>
      <c r="E734" t="str">
        <f t="shared" si="11"/>
        <v>City of Vine Hill-Pacheco</v>
      </c>
      <c r="F734">
        <v>3013</v>
      </c>
      <c r="G734" t="s">
        <v>4456</v>
      </c>
      <c r="H734">
        <v>6129</v>
      </c>
      <c r="I734">
        <v>6129</v>
      </c>
      <c r="J734">
        <v>0</v>
      </c>
      <c r="K734">
        <v>0</v>
      </c>
      <c r="L734">
        <v>2093</v>
      </c>
      <c r="M734">
        <v>1490</v>
      </c>
      <c r="N734">
        <v>603</v>
      </c>
      <c r="O734">
        <v>73900</v>
      </c>
      <c r="P734">
        <v>1918</v>
      </c>
      <c r="Q734">
        <v>158</v>
      </c>
      <c r="R734">
        <v>79</v>
      </c>
      <c r="S734">
        <v>24</v>
      </c>
      <c r="T734" t="s">
        <v>4455</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4457</v>
      </c>
      <c r="B735">
        <v>1980</v>
      </c>
      <c r="C735" t="s">
        <v>173</v>
      </c>
      <c r="D735" t="s">
        <v>1198</v>
      </c>
      <c r="E735" t="str">
        <f t="shared" si="11"/>
        <v>City of Visalia</v>
      </c>
      <c r="F735">
        <v>3015</v>
      </c>
      <c r="G735" t="s">
        <v>4458</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4459</v>
      </c>
      <c r="B736">
        <v>1980</v>
      </c>
      <c r="C736" t="s">
        <v>173</v>
      </c>
      <c r="D736" t="s">
        <v>1200</v>
      </c>
      <c r="E736" t="str">
        <f t="shared" si="11"/>
        <v>City of Vista</v>
      </c>
      <c r="F736">
        <v>3017</v>
      </c>
      <c r="G736" t="s">
        <v>4460</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4461</v>
      </c>
      <c r="B737">
        <v>1980</v>
      </c>
      <c r="C737" t="s">
        <v>173</v>
      </c>
      <c r="D737" t="s">
        <v>1202</v>
      </c>
      <c r="E737" t="str">
        <f t="shared" si="11"/>
        <v>City of Walnut</v>
      </c>
      <c r="F737">
        <v>3025</v>
      </c>
      <c r="G737" t="s">
        <v>4462</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4463</v>
      </c>
      <c r="B738">
        <v>1980</v>
      </c>
      <c r="C738" t="s">
        <v>173</v>
      </c>
      <c r="D738" t="s">
        <v>1204</v>
      </c>
      <c r="E738" t="str">
        <f t="shared" si="11"/>
        <v>City of Walnut Creek</v>
      </c>
      <c r="F738">
        <v>3030</v>
      </c>
      <c r="G738" t="s">
        <v>4464</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4465</v>
      </c>
      <c r="B739">
        <v>1980</v>
      </c>
      <c r="C739" t="s">
        <v>173</v>
      </c>
      <c r="D739" t="s">
        <v>4466</v>
      </c>
      <c r="E739" t="str">
        <f t="shared" si="11"/>
        <v>City of Walnut Creek West</v>
      </c>
      <c r="F739">
        <v>3032</v>
      </c>
      <c r="G739" t="s">
        <v>4467</v>
      </c>
      <c r="H739">
        <v>5893</v>
      </c>
      <c r="I739">
        <v>5893</v>
      </c>
      <c r="J739">
        <v>0</v>
      </c>
      <c r="K739">
        <v>0</v>
      </c>
      <c r="L739">
        <v>2442</v>
      </c>
      <c r="M739">
        <v>1668</v>
      </c>
      <c r="N739">
        <v>774</v>
      </c>
      <c r="O739">
        <v>112300</v>
      </c>
      <c r="P739">
        <v>2104</v>
      </c>
      <c r="Q739">
        <v>89</v>
      </c>
      <c r="R739">
        <v>295</v>
      </c>
      <c r="S739">
        <v>0</v>
      </c>
      <c r="T739" t="s">
        <v>4466</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4468</v>
      </c>
      <c r="B740">
        <v>1980</v>
      </c>
      <c r="C740" t="s">
        <v>173</v>
      </c>
      <c r="D740" t="s">
        <v>4469</v>
      </c>
      <c r="E740" t="str">
        <f t="shared" si="11"/>
        <v>City of Walnut Park</v>
      </c>
      <c r="F740">
        <v>3040</v>
      </c>
      <c r="G740" t="s">
        <v>4470</v>
      </c>
      <c r="H740">
        <v>11811</v>
      </c>
      <c r="I740">
        <v>11811</v>
      </c>
      <c r="J740">
        <v>0</v>
      </c>
      <c r="K740">
        <v>0</v>
      </c>
      <c r="L740">
        <v>3647</v>
      </c>
      <c r="M740">
        <v>2177</v>
      </c>
      <c r="N740">
        <v>1470</v>
      </c>
      <c r="O740">
        <v>63400</v>
      </c>
      <c r="P740">
        <v>3013</v>
      </c>
      <c r="Q740">
        <v>704</v>
      </c>
      <c r="R740">
        <v>67</v>
      </c>
      <c r="S740">
        <v>0</v>
      </c>
      <c r="T740" t="s">
        <v>4469</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4471</v>
      </c>
      <c r="B741">
        <v>1980</v>
      </c>
      <c r="C741" t="s">
        <v>173</v>
      </c>
      <c r="D741" t="s">
        <v>1206</v>
      </c>
      <c r="E741" t="str">
        <f t="shared" si="11"/>
        <v>City of Wasco</v>
      </c>
      <c r="F741">
        <v>3045</v>
      </c>
      <c r="G741" t="s">
        <v>4472</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4473</v>
      </c>
      <c r="B742">
        <v>1980</v>
      </c>
      <c r="C742" t="s">
        <v>173</v>
      </c>
      <c r="D742" t="s">
        <v>1208</v>
      </c>
      <c r="E742" t="str">
        <f t="shared" si="11"/>
        <v>City of Waterford</v>
      </c>
      <c r="F742">
        <v>3050</v>
      </c>
      <c r="G742" t="s">
        <v>4474</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4475</v>
      </c>
      <c r="B743">
        <v>1980</v>
      </c>
      <c r="C743" t="s">
        <v>173</v>
      </c>
      <c r="D743" t="s">
        <v>1210</v>
      </c>
      <c r="E743" t="str">
        <f t="shared" si="11"/>
        <v>City of Watsonville</v>
      </c>
      <c r="F743">
        <v>3055</v>
      </c>
      <c r="G743" t="s">
        <v>4476</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4477</v>
      </c>
      <c r="B744">
        <v>1980</v>
      </c>
      <c r="C744" t="s">
        <v>173</v>
      </c>
      <c r="D744" t="s">
        <v>4478</v>
      </c>
      <c r="E744" t="str">
        <f t="shared" si="11"/>
        <v>City of Weaverville</v>
      </c>
      <c r="F744">
        <v>3060</v>
      </c>
      <c r="G744" t="s">
        <v>4479</v>
      </c>
      <c r="H744">
        <v>2787</v>
      </c>
      <c r="I744">
        <v>0</v>
      </c>
      <c r="J744">
        <v>2787</v>
      </c>
      <c r="K744">
        <v>0</v>
      </c>
      <c r="L744">
        <v>1077</v>
      </c>
      <c r="M744">
        <v>727</v>
      </c>
      <c r="N744">
        <v>350</v>
      </c>
      <c r="O744">
        <v>60700</v>
      </c>
      <c r="P744">
        <v>810</v>
      </c>
      <c r="Q744">
        <v>129</v>
      </c>
      <c r="R744">
        <v>53</v>
      </c>
      <c r="S744">
        <v>168</v>
      </c>
      <c r="T744" t="s">
        <v>4478</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4480</v>
      </c>
      <c r="B745">
        <v>1980</v>
      </c>
      <c r="C745" t="s">
        <v>173</v>
      </c>
      <c r="D745" t="s">
        <v>1212</v>
      </c>
      <c r="E745" t="str">
        <f t="shared" si="11"/>
        <v>City of Weed</v>
      </c>
      <c r="F745">
        <v>3063</v>
      </c>
      <c r="G745" t="s">
        <v>4481</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4482</v>
      </c>
      <c r="B746">
        <v>1980</v>
      </c>
      <c r="C746" t="s">
        <v>173</v>
      </c>
      <c r="D746" t="s">
        <v>4483</v>
      </c>
      <c r="E746" t="str">
        <f t="shared" si="11"/>
        <v>City of Weed Patch</v>
      </c>
      <c r="F746">
        <v>3064</v>
      </c>
      <c r="G746" t="s">
        <v>4484</v>
      </c>
      <c r="H746">
        <v>1553</v>
      </c>
      <c r="I746">
        <v>0</v>
      </c>
      <c r="J746">
        <v>0</v>
      </c>
      <c r="K746">
        <v>1553</v>
      </c>
      <c r="L746">
        <v>394</v>
      </c>
      <c r="M746">
        <v>186</v>
      </c>
      <c r="N746">
        <v>208</v>
      </c>
      <c r="O746">
        <v>24800</v>
      </c>
      <c r="P746">
        <v>250</v>
      </c>
      <c r="Q746">
        <v>88</v>
      </c>
      <c r="R746">
        <v>3</v>
      </c>
      <c r="S746">
        <v>80</v>
      </c>
      <c r="T746" t="s">
        <v>4483</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4485</v>
      </c>
      <c r="B747">
        <v>1980</v>
      </c>
      <c r="C747" t="s">
        <v>173</v>
      </c>
      <c r="D747" t="s">
        <v>4486</v>
      </c>
      <c r="E747" t="str">
        <f t="shared" si="11"/>
        <v>City of West Athens</v>
      </c>
      <c r="F747">
        <v>3066</v>
      </c>
      <c r="G747" t="s">
        <v>4487</v>
      </c>
      <c r="H747">
        <v>8531</v>
      </c>
      <c r="I747">
        <v>8531</v>
      </c>
      <c r="J747">
        <v>0</v>
      </c>
      <c r="K747">
        <v>0</v>
      </c>
      <c r="L747">
        <v>2475</v>
      </c>
      <c r="M747">
        <v>1359</v>
      </c>
      <c r="N747">
        <v>1116</v>
      </c>
      <c r="O747">
        <v>68400</v>
      </c>
      <c r="P747">
        <v>1831</v>
      </c>
      <c r="Q747">
        <v>329</v>
      </c>
      <c r="R747">
        <v>367</v>
      </c>
      <c r="S747">
        <v>29</v>
      </c>
      <c r="T747" t="s">
        <v>4486</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4488</v>
      </c>
      <c r="B748">
        <v>1980</v>
      </c>
      <c r="C748" t="s">
        <v>173</v>
      </c>
      <c r="D748" t="s">
        <v>4489</v>
      </c>
      <c r="E748" t="str">
        <f t="shared" si="11"/>
        <v>City of West Carson</v>
      </c>
      <c r="F748">
        <v>3067</v>
      </c>
      <c r="G748" t="s">
        <v>4490</v>
      </c>
      <c r="H748">
        <v>17997</v>
      </c>
      <c r="I748">
        <v>17997</v>
      </c>
      <c r="J748">
        <v>0</v>
      </c>
      <c r="K748">
        <v>0</v>
      </c>
      <c r="L748">
        <v>5798</v>
      </c>
      <c r="M748">
        <v>4198</v>
      </c>
      <c r="N748">
        <v>1600</v>
      </c>
      <c r="O748">
        <v>95100</v>
      </c>
      <c r="P748">
        <v>4247</v>
      </c>
      <c r="Q748">
        <v>614</v>
      </c>
      <c r="R748">
        <v>430</v>
      </c>
      <c r="S748">
        <v>909</v>
      </c>
      <c r="T748" t="s">
        <v>4489</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4491</v>
      </c>
      <c r="B749">
        <v>1980</v>
      </c>
      <c r="C749" t="s">
        <v>173</v>
      </c>
      <c r="D749" t="s">
        <v>4492</v>
      </c>
      <c r="E749" t="str">
        <f t="shared" si="11"/>
        <v>City of West Compton</v>
      </c>
      <c r="F749">
        <v>3068</v>
      </c>
      <c r="G749" t="s">
        <v>4493</v>
      </c>
      <c r="H749">
        <v>5907</v>
      </c>
      <c r="I749">
        <v>5907</v>
      </c>
      <c r="J749">
        <v>0</v>
      </c>
      <c r="K749">
        <v>0</v>
      </c>
      <c r="L749">
        <v>1616</v>
      </c>
      <c r="M749">
        <v>1218</v>
      </c>
      <c r="N749">
        <v>398</v>
      </c>
      <c r="O749">
        <v>47800</v>
      </c>
      <c r="P749">
        <v>1373</v>
      </c>
      <c r="Q749">
        <v>87</v>
      </c>
      <c r="R749">
        <v>75</v>
      </c>
      <c r="S749">
        <v>109</v>
      </c>
      <c r="T749" t="s">
        <v>4492</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4494</v>
      </c>
      <c r="B750">
        <v>1980</v>
      </c>
      <c r="C750" t="s">
        <v>173</v>
      </c>
      <c r="D750" t="s">
        <v>1214</v>
      </c>
      <c r="E750" t="str">
        <f t="shared" si="11"/>
        <v>City of West Covina</v>
      </c>
      <c r="F750">
        <v>3070</v>
      </c>
      <c r="G750" t="s">
        <v>4495</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4496</v>
      </c>
      <c r="B751">
        <v>1980</v>
      </c>
      <c r="C751" t="s">
        <v>173</v>
      </c>
      <c r="D751" t="s">
        <v>4497</v>
      </c>
      <c r="E751" t="str">
        <f t="shared" si="11"/>
        <v>City of West Hollywood</v>
      </c>
      <c r="F751">
        <v>3080</v>
      </c>
      <c r="G751" t="s">
        <v>4498</v>
      </c>
      <c r="H751">
        <v>35703</v>
      </c>
      <c r="I751">
        <v>35703</v>
      </c>
      <c r="J751">
        <v>0</v>
      </c>
      <c r="K751">
        <v>0</v>
      </c>
      <c r="L751">
        <v>22152</v>
      </c>
      <c r="M751">
        <v>2684</v>
      </c>
      <c r="N751">
        <v>19468</v>
      </c>
      <c r="O751">
        <v>128000</v>
      </c>
      <c r="P751">
        <v>6812</v>
      </c>
      <c r="Q751">
        <v>4452</v>
      </c>
      <c r="R751">
        <v>13022</v>
      </c>
      <c r="S751">
        <v>25</v>
      </c>
      <c r="T751" t="s">
        <v>4497</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4499</v>
      </c>
      <c r="B752">
        <v>1980</v>
      </c>
      <c r="C752" t="s">
        <v>173</v>
      </c>
      <c r="D752" t="s">
        <v>1218</v>
      </c>
      <c r="E752" t="str">
        <f t="shared" si="11"/>
        <v>City of Westminster</v>
      </c>
      <c r="F752">
        <v>3085</v>
      </c>
      <c r="G752" t="s">
        <v>4500</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4501</v>
      </c>
      <c r="B753">
        <v>1980</v>
      </c>
      <c r="C753" t="s">
        <v>173</v>
      </c>
      <c r="D753" t="s">
        <v>4502</v>
      </c>
      <c r="E753" t="str">
        <f t="shared" si="11"/>
        <v>City of Westmont</v>
      </c>
      <c r="F753">
        <v>3091</v>
      </c>
      <c r="G753" t="s">
        <v>4503</v>
      </c>
      <c r="H753">
        <v>27916</v>
      </c>
      <c r="I753">
        <v>27916</v>
      </c>
      <c r="J753">
        <v>0</v>
      </c>
      <c r="K753">
        <v>0</v>
      </c>
      <c r="L753">
        <v>9165</v>
      </c>
      <c r="M753">
        <v>3218</v>
      </c>
      <c r="N753">
        <v>5947</v>
      </c>
      <c r="O753">
        <v>56400</v>
      </c>
      <c r="P753">
        <v>5858</v>
      </c>
      <c r="Q753">
        <v>2712</v>
      </c>
      <c r="R753">
        <v>959</v>
      </c>
      <c r="S753">
        <v>28</v>
      </c>
      <c r="T753" t="s">
        <v>4502</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4504</v>
      </c>
      <c r="B754">
        <v>1980</v>
      </c>
      <c r="C754" t="s">
        <v>173</v>
      </c>
      <c r="D754" t="s">
        <v>1220</v>
      </c>
      <c r="E754" t="str">
        <f t="shared" si="11"/>
        <v>City of Westmorland</v>
      </c>
      <c r="F754">
        <v>3092</v>
      </c>
      <c r="G754" t="s">
        <v>4505</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4506</v>
      </c>
      <c r="B755">
        <v>1980</v>
      </c>
      <c r="C755" t="s">
        <v>173</v>
      </c>
      <c r="D755" t="s">
        <v>4507</v>
      </c>
      <c r="E755" t="str">
        <f t="shared" si="11"/>
        <v>City of West Parlier</v>
      </c>
      <c r="F755">
        <v>3093</v>
      </c>
      <c r="G755" t="s">
        <v>4508</v>
      </c>
      <c r="H755">
        <v>2811</v>
      </c>
      <c r="I755">
        <v>0</v>
      </c>
      <c r="J755">
        <v>2811</v>
      </c>
      <c r="K755">
        <v>0</v>
      </c>
      <c r="L755">
        <v>625</v>
      </c>
      <c r="M755">
        <v>274</v>
      </c>
      <c r="N755">
        <v>351</v>
      </c>
      <c r="O755">
        <v>29500</v>
      </c>
      <c r="P755">
        <v>356</v>
      </c>
      <c r="Q755">
        <v>189</v>
      </c>
      <c r="R755">
        <v>85</v>
      </c>
      <c r="S755">
        <v>4</v>
      </c>
      <c r="T755" t="s">
        <v>4507</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4509</v>
      </c>
      <c r="B756">
        <v>1980</v>
      </c>
      <c r="C756" t="s">
        <v>173</v>
      </c>
      <c r="D756" t="s">
        <v>4510</v>
      </c>
      <c r="E756" t="str">
        <f t="shared" si="11"/>
        <v>City of West Pittsburg</v>
      </c>
      <c r="F756">
        <v>3094</v>
      </c>
      <c r="G756" t="s">
        <v>4511</v>
      </c>
      <c r="H756">
        <v>8773</v>
      </c>
      <c r="I756">
        <v>8773</v>
      </c>
      <c r="J756">
        <v>0</v>
      </c>
      <c r="K756">
        <v>0</v>
      </c>
      <c r="L756">
        <v>3292</v>
      </c>
      <c r="M756">
        <v>2338</v>
      </c>
      <c r="N756">
        <v>954</v>
      </c>
      <c r="O756">
        <v>54100</v>
      </c>
      <c r="P756">
        <v>2542</v>
      </c>
      <c r="Q756">
        <v>265</v>
      </c>
      <c r="R756">
        <v>48</v>
      </c>
      <c r="S756">
        <v>608</v>
      </c>
      <c r="T756" t="s">
        <v>4510</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4512</v>
      </c>
      <c r="B757">
        <v>1980</v>
      </c>
      <c r="C757" t="s">
        <v>173</v>
      </c>
      <c r="D757" t="s">
        <v>4513</v>
      </c>
      <c r="E757" t="str">
        <f t="shared" si="11"/>
        <v>City of West Puente Valley</v>
      </c>
      <c r="F757">
        <v>3097</v>
      </c>
      <c r="G757" t="s">
        <v>4514</v>
      </c>
      <c r="H757">
        <v>20445</v>
      </c>
      <c r="I757">
        <v>20445</v>
      </c>
      <c r="J757">
        <v>0</v>
      </c>
      <c r="K757">
        <v>0</v>
      </c>
      <c r="L757">
        <v>4817</v>
      </c>
      <c r="M757">
        <v>4232</v>
      </c>
      <c r="N757">
        <v>585</v>
      </c>
      <c r="O757">
        <v>63800</v>
      </c>
      <c r="P757">
        <v>4570</v>
      </c>
      <c r="Q757">
        <v>175</v>
      </c>
      <c r="R757">
        <v>123</v>
      </c>
      <c r="S757">
        <v>3</v>
      </c>
      <c r="T757" t="s">
        <v>4513</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4515</v>
      </c>
      <c r="B758">
        <v>1980</v>
      </c>
      <c r="C758" t="s">
        <v>173</v>
      </c>
      <c r="D758" t="s">
        <v>1216</v>
      </c>
      <c r="E758" t="str">
        <f t="shared" si="11"/>
        <v>City of West Sacramento</v>
      </c>
      <c r="F758">
        <v>3098</v>
      </c>
      <c r="G758" t="s">
        <v>4516</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4517</v>
      </c>
      <c r="B759">
        <v>1980</v>
      </c>
      <c r="C759" t="s">
        <v>173</v>
      </c>
      <c r="D759" t="s">
        <v>4518</v>
      </c>
      <c r="E759" t="str">
        <f t="shared" si="11"/>
        <v>City of West Whittier-Los Nietos</v>
      </c>
      <c r="F759">
        <v>3099</v>
      </c>
      <c r="G759" t="s">
        <v>4519</v>
      </c>
      <c r="H759">
        <v>21001</v>
      </c>
      <c r="I759">
        <v>21001</v>
      </c>
      <c r="J759">
        <v>0</v>
      </c>
      <c r="K759">
        <v>0</v>
      </c>
      <c r="L759">
        <v>6442</v>
      </c>
      <c r="M759">
        <v>4976</v>
      </c>
      <c r="N759">
        <v>1466</v>
      </c>
      <c r="O759">
        <v>66600</v>
      </c>
      <c r="P759">
        <v>5663</v>
      </c>
      <c r="Q759">
        <v>288</v>
      </c>
      <c r="R759">
        <v>358</v>
      </c>
      <c r="S759">
        <v>276</v>
      </c>
      <c r="T759" t="s">
        <v>4518</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4520</v>
      </c>
      <c r="B760">
        <v>1980</v>
      </c>
      <c r="C760" t="s">
        <v>173</v>
      </c>
      <c r="D760" t="s">
        <v>4521</v>
      </c>
      <c r="E760" t="str">
        <f t="shared" si="11"/>
        <v>City of Westwood</v>
      </c>
      <c r="F760">
        <v>3100</v>
      </c>
      <c r="G760" t="s">
        <v>4522</v>
      </c>
      <c r="H760">
        <v>2081</v>
      </c>
      <c r="I760">
        <v>0</v>
      </c>
      <c r="J760">
        <v>0</v>
      </c>
      <c r="K760">
        <v>2081</v>
      </c>
      <c r="L760">
        <v>779</v>
      </c>
      <c r="M760">
        <v>533</v>
      </c>
      <c r="N760">
        <v>246</v>
      </c>
      <c r="O760">
        <v>38300</v>
      </c>
      <c r="P760">
        <v>743</v>
      </c>
      <c r="Q760">
        <v>101</v>
      </c>
      <c r="R760">
        <v>0</v>
      </c>
      <c r="S760">
        <v>27</v>
      </c>
      <c r="T760" t="s">
        <v>4521</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4523</v>
      </c>
      <c r="B761">
        <v>1980</v>
      </c>
      <c r="C761" t="s">
        <v>173</v>
      </c>
      <c r="D761" t="s">
        <v>1222</v>
      </c>
      <c r="E761" t="str">
        <f t="shared" si="11"/>
        <v>City of Wheatland</v>
      </c>
      <c r="F761">
        <v>3105</v>
      </c>
      <c r="G761" t="s">
        <v>4524</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4525</v>
      </c>
      <c r="B762">
        <v>1980</v>
      </c>
      <c r="C762" t="s">
        <v>173</v>
      </c>
      <c r="D762" t="s">
        <v>1224</v>
      </c>
      <c r="E762" t="str">
        <f t="shared" si="11"/>
        <v>City of Whittier</v>
      </c>
      <c r="F762">
        <v>3110</v>
      </c>
      <c r="G762" t="s">
        <v>4526</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4527</v>
      </c>
      <c r="B763">
        <v>1980</v>
      </c>
      <c r="C763" t="s">
        <v>173</v>
      </c>
      <c r="D763" t="s">
        <v>1228</v>
      </c>
      <c r="E763" t="str">
        <f t="shared" si="11"/>
        <v>City of Williams</v>
      </c>
      <c r="F763">
        <v>3115</v>
      </c>
      <c r="G763" t="s">
        <v>4528</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4529</v>
      </c>
      <c r="B764">
        <v>1980</v>
      </c>
      <c r="C764" t="s">
        <v>173</v>
      </c>
      <c r="D764" t="s">
        <v>1230</v>
      </c>
      <c r="E764" t="str">
        <f t="shared" si="11"/>
        <v>City of Willits</v>
      </c>
      <c r="F764">
        <v>3120</v>
      </c>
      <c r="G764" t="s">
        <v>4530</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4531</v>
      </c>
      <c r="B765">
        <v>1980</v>
      </c>
      <c r="C765" t="s">
        <v>173</v>
      </c>
      <c r="D765" t="s">
        <v>4532</v>
      </c>
      <c r="E765" t="str">
        <f t="shared" si="11"/>
        <v>City of Willowbrook</v>
      </c>
      <c r="F765">
        <v>3121</v>
      </c>
      <c r="G765" t="s">
        <v>4533</v>
      </c>
      <c r="H765">
        <v>30845</v>
      </c>
      <c r="I765">
        <v>30845</v>
      </c>
      <c r="J765">
        <v>0</v>
      </c>
      <c r="K765">
        <v>0</v>
      </c>
      <c r="L765">
        <v>8247</v>
      </c>
      <c r="M765">
        <v>4746</v>
      </c>
      <c r="N765">
        <v>3501</v>
      </c>
      <c r="O765">
        <v>42000</v>
      </c>
      <c r="P765">
        <v>7076</v>
      </c>
      <c r="Q765">
        <v>1090</v>
      </c>
      <c r="R765">
        <v>317</v>
      </c>
      <c r="S765">
        <v>37</v>
      </c>
      <c r="T765" t="s">
        <v>4532</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4534</v>
      </c>
      <c r="B766">
        <v>1980</v>
      </c>
      <c r="C766" t="s">
        <v>173</v>
      </c>
      <c r="D766" t="s">
        <v>1232</v>
      </c>
      <c r="E766" t="str">
        <f t="shared" si="11"/>
        <v>City of Willows</v>
      </c>
      <c r="F766">
        <v>3125</v>
      </c>
      <c r="G766" t="s">
        <v>4535</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4536</v>
      </c>
      <c r="B767">
        <v>1980</v>
      </c>
      <c r="C767" t="s">
        <v>173</v>
      </c>
      <c r="D767" t="s">
        <v>1236</v>
      </c>
      <c r="E767" t="str">
        <f t="shared" si="11"/>
        <v>City of Winters</v>
      </c>
      <c r="F767">
        <v>3135</v>
      </c>
      <c r="G767" t="s">
        <v>4537</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4538</v>
      </c>
      <c r="B768">
        <v>1980</v>
      </c>
      <c r="C768" t="s">
        <v>173</v>
      </c>
      <c r="D768" t="s">
        <v>4539</v>
      </c>
      <c r="E768" t="str">
        <f t="shared" si="11"/>
        <v>City of Winton</v>
      </c>
      <c r="F768">
        <v>3137</v>
      </c>
      <c r="G768" t="s">
        <v>4540</v>
      </c>
      <c r="H768">
        <v>4995</v>
      </c>
      <c r="I768">
        <v>0</v>
      </c>
      <c r="J768">
        <v>4995</v>
      </c>
      <c r="K768">
        <v>0</v>
      </c>
      <c r="L768">
        <v>1625</v>
      </c>
      <c r="M768">
        <v>933</v>
      </c>
      <c r="N768">
        <v>692</v>
      </c>
      <c r="O768">
        <v>45000</v>
      </c>
      <c r="P768">
        <v>1462</v>
      </c>
      <c r="Q768">
        <v>135</v>
      </c>
      <c r="R768">
        <v>50</v>
      </c>
      <c r="S768">
        <v>67</v>
      </c>
      <c r="T768" t="s">
        <v>4539</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4541</v>
      </c>
      <c r="B769">
        <v>1980</v>
      </c>
      <c r="C769" t="s">
        <v>173</v>
      </c>
      <c r="D769" t="s">
        <v>4542</v>
      </c>
      <c r="E769" t="str">
        <f t="shared" si="11"/>
        <v>City of Wofford Heights</v>
      </c>
      <c r="F769">
        <v>3138</v>
      </c>
      <c r="G769" t="s">
        <v>4543</v>
      </c>
      <c r="H769">
        <v>2112</v>
      </c>
      <c r="I769">
        <v>0</v>
      </c>
      <c r="J769">
        <v>0</v>
      </c>
      <c r="K769">
        <v>2112</v>
      </c>
      <c r="L769">
        <v>1035</v>
      </c>
      <c r="M769">
        <v>839</v>
      </c>
      <c r="N769">
        <v>196</v>
      </c>
      <c r="O769">
        <v>51300</v>
      </c>
      <c r="P769">
        <v>843</v>
      </c>
      <c r="Q769">
        <v>62</v>
      </c>
      <c r="R769">
        <v>12</v>
      </c>
      <c r="S769">
        <v>694</v>
      </c>
      <c r="T769" t="s">
        <v>4542</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4544</v>
      </c>
      <c r="B770">
        <v>1980</v>
      </c>
      <c r="C770" t="s">
        <v>173</v>
      </c>
      <c r="D770" t="s">
        <v>4545</v>
      </c>
      <c r="E770" t="str">
        <f t="shared" si="11"/>
        <v>City of Woodacre</v>
      </c>
      <c r="F770">
        <v>3139</v>
      </c>
      <c r="G770" t="s">
        <v>4546</v>
      </c>
      <c r="H770">
        <v>1300</v>
      </c>
      <c r="I770">
        <v>0</v>
      </c>
      <c r="J770">
        <v>0</v>
      </c>
      <c r="K770">
        <v>1300</v>
      </c>
      <c r="L770">
        <v>496</v>
      </c>
      <c r="M770">
        <v>382</v>
      </c>
      <c r="N770">
        <v>114</v>
      </c>
      <c r="O770">
        <v>128400</v>
      </c>
      <c r="P770">
        <v>471</v>
      </c>
      <c r="Q770">
        <v>50</v>
      </c>
      <c r="R770">
        <v>0</v>
      </c>
      <c r="S770">
        <v>0</v>
      </c>
      <c r="T770" t="s">
        <v>4545</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4547</v>
      </c>
      <c r="B771">
        <v>1980</v>
      </c>
      <c r="C771" t="s">
        <v>173</v>
      </c>
      <c r="D771" t="s">
        <v>4548</v>
      </c>
      <c r="E771" t="str">
        <f t="shared" si="11"/>
        <v>City of Woodbridge</v>
      </c>
      <c r="F771">
        <v>3140</v>
      </c>
      <c r="G771" t="s">
        <v>4549</v>
      </c>
      <c r="H771">
        <v>1672</v>
      </c>
      <c r="I771">
        <v>0</v>
      </c>
      <c r="J771">
        <v>0</v>
      </c>
      <c r="K771">
        <v>1672</v>
      </c>
      <c r="L771">
        <v>555</v>
      </c>
      <c r="M771">
        <v>337</v>
      </c>
      <c r="N771">
        <v>218</v>
      </c>
      <c r="O771">
        <v>44900</v>
      </c>
      <c r="P771">
        <v>417</v>
      </c>
      <c r="Q771">
        <v>32</v>
      </c>
      <c r="R771">
        <v>12</v>
      </c>
      <c r="S771">
        <v>113</v>
      </c>
      <c r="T771" t="s">
        <v>4548</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4550</v>
      </c>
      <c r="B772">
        <v>1980</v>
      </c>
      <c r="C772" t="s">
        <v>173</v>
      </c>
      <c r="D772" t="s">
        <v>1238</v>
      </c>
      <c r="E772" t="str">
        <f t="shared" si="11"/>
        <v>City of Woodlake</v>
      </c>
      <c r="F772">
        <v>3145</v>
      </c>
      <c r="G772" t="s">
        <v>4551</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4552</v>
      </c>
      <c r="B773">
        <v>1980</v>
      </c>
      <c r="C773" t="s">
        <v>173</v>
      </c>
      <c r="D773" t="s">
        <v>1240</v>
      </c>
      <c r="E773" t="str">
        <f t="shared" ref="E773:E784" si="12">_xlfn.CONCAT("City of ",D773)</f>
        <v>City of Woodland</v>
      </c>
      <c r="F773">
        <v>3150</v>
      </c>
      <c r="G773" t="s">
        <v>4553</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4554</v>
      </c>
      <c r="B774">
        <v>1980</v>
      </c>
      <c r="C774" t="s">
        <v>173</v>
      </c>
      <c r="D774" t="s">
        <v>1242</v>
      </c>
      <c r="E774" t="str">
        <f t="shared" si="12"/>
        <v>City of Woodside</v>
      </c>
      <c r="F774">
        <v>3155</v>
      </c>
      <c r="G774" t="s">
        <v>4555</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4556</v>
      </c>
      <c r="B775">
        <v>1980</v>
      </c>
      <c r="C775" t="s">
        <v>173</v>
      </c>
      <c r="D775" t="s">
        <v>4557</v>
      </c>
      <c r="E775" t="str">
        <f t="shared" si="12"/>
        <v>City of Woodville</v>
      </c>
      <c r="F775">
        <v>3160</v>
      </c>
      <c r="G775" t="s">
        <v>4558</v>
      </c>
      <c r="H775">
        <v>1507</v>
      </c>
      <c r="I775">
        <v>0</v>
      </c>
      <c r="J775">
        <v>0</v>
      </c>
      <c r="K775">
        <v>1507</v>
      </c>
      <c r="L775">
        <v>400</v>
      </c>
      <c r="M775">
        <v>255</v>
      </c>
      <c r="N775">
        <v>145</v>
      </c>
      <c r="O775">
        <v>29900</v>
      </c>
      <c r="P775">
        <v>373</v>
      </c>
      <c r="Q775">
        <v>15</v>
      </c>
      <c r="R775">
        <v>0</v>
      </c>
      <c r="S775">
        <v>25</v>
      </c>
      <c r="T775" t="s">
        <v>4557</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4559</v>
      </c>
      <c r="B776">
        <v>1980</v>
      </c>
      <c r="C776" t="s">
        <v>173</v>
      </c>
      <c r="D776" t="s">
        <v>4560</v>
      </c>
      <c r="E776" t="str">
        <f t="shared" si="12"/>
        <v>City of Wrightwood</v>
      </c>
      <c r="F776">
        <v>3163</v>
      </c>
      <c r="G776" t="s">
        <v>4561</v>
      </c>
      <c r="H776">
        <v>2511</v>
      </c>
      <c r="I776">
        <v>0</v>
      </c>
      <c r="J776">
        <v>2511</v>
      </c>
      <c r="K776">
        <v>0</v>
      </c>
      <c r="L776">
        <v>917</v>
      </c>
      <c r="M776">
        <v>717</v>
      </c>
      <c r="N776">
        <v>200</v>
      </c>
      <c r="O776">
        <v>85400</v>
      </c>
      <c r="P776">
        <v>1844</v>
      </c>
      <c r="Q776">
        <v>53</v>
      </c>
      <c r="R776">
        <v>5</v>
      </c>
      <c r="S776">
        <v>20</v>
      </c>
      <c r="T776" t="s">
        <v>4560</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4562</v>
      </c>
      <c r="B777">
        <v>1980</v>
      </c>
      <c r="C777" t="s">
        <v>173</v>
      </c>
      <c r="D777" t="s">
        <v>4563</v>
      </c>
      <c r="E777" t="str">
        <f t="shared" si="12"/>
        <v>City of Yermo</v>
      </c>
      <c r="F777">
        <v>3167</v>
      </c>
      <c r="G777" t="s">
        <v>4564</v>
      </c>
      <c r="H777">
        <v>1092</v>
      </c>
      <c r="I777">
        <v>0</v>
      </c>
      <c r="J777">
        <v>0</v>
      </c>
      <c r="K777">
        <v>1092</v>
      </c>
      <c r="L777">
        <v>423</v>
      </c>
      <c r="M777">
        <v>262</v>
      </c>
      <c r="N777">
        <v>161</v>
      </c>
      <c r="O777">
        <v>39900</v>
      </c>
      <c r="P777">
        <v>387</v>
      </c>
      <c r="Q777">
        <v>86</v>
      </c>
      <c r="R777">
        <v>25</v>
      </c>
      <c r="S777">
        <v>15</v>
      </c>
      <c r="T777" t="s">
        <v>4563</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4565</v>
      </c>
      <c r="B778">
        <v>1980</v>
      </c>
      <c r="C778" t="s">
        <v>173</v>
      </c>
      <c r="D778" t="s">
        <v>1244</v>
      </c>
      <c r="E778" t="str">
        <f t="shared" si="12"/>
        <v>City of Yorba Linda</v>
      </c>
      <c r="F778">
        <v>3169</v>
      </c>
      <c r="G778" t="s">
        <v>4566</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4567</v>
      </c>
      <c r="B779">
        <v>1980</v>
      </c>
      <c r="C779" t="s">
        <v>173</v>
      </c>
      <c r="D779" t="s">
        <v>4568</v>
      </c>
      <c r="E779" t="str">
        <f t="shared" si="12"/>
        <v>City of Yosemite Valley</v>
      </c>
      <c r="F779">
        <v>3176</v>
      </c>
      <c r="G779" t="s">
        <v>4569</v>
      </c>
      <c r="H779">
        <v>1073</v>
      </c>
      <c r="I779">
        <v>0</v>
      </c>
      <c r="J779">
        <v>0</v>
      </c>
      <c r="K779">
        <v>1073</v>
      </c>
      <c r="L779">
        <v>173</v>
      </c>
      <c r="M779">
        <v>2</v>
      </c>
      <c r="N779">
        <v>171</v>
      </c>
      <c r="O779">
        <v>0</v>
      </c>
      <c r="P779">
        <v>141</v>
      </c>
      <c r="Q779">
        <v>36</v>
      </c>
      <c r="R779">
        <v>7</v>
      </c>
      <c r="S779">
        <v>1</v>
      </c>
      <c r="T779" t="s">
        <v>4568</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4570</v>
      </c>
      <c r="B780">
        <v>1980</v>
      </c>
      <c r="C780" t="s">
        <v>173</v>
      </c>
      <c r="D780" t="s">
        <v>1246</v>
      </c>
      <c r="E780" t="str">
        <f t="shared" si="12"/>
        <v>City of Yountville</v>
      </c>
      <c r="F780">
        <v>3177</v>
      </c>
      <c r="G780" t="s">
        <v>4571</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4572</v>
      </c>
      <c r="B781">
        <v>1980</v>
      </c>
      <c r="C781" t="s">
        <v>173</v>
      </c>
      <c r="D781" t="s">
        <v>1248</v>
      </c>
      <c r="E781" t="str">
        <f t="shared" si="12"/>
        <v>City of Yreka</v>
      </c>
      <c r="F781">
        <v>3180</v>
      </c>
      <c r="G781" t="s">
        <v>4573</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4574</v>
      </c>
      <c r="B782">
        <v>1980</v>
      </c>
      <c r="C782" t="s">
        <v>173</v>
      </c>
      <c r="D782" t="s">
        <v>1250</v>
      </c>
      <c r="E782" t="str">
        <f t="shared" si="12"/>
        <v>City of Yuba City</v>
      </c>
      <c r="F782">
        <v>3185</v>
      </c>
      <c r="G782" t="s">
        <v>4575</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4576</v>
      </c>
      <c r="B783">
        <v>1980</v>
      </c>
      <c r="C783" t="s">
        <v>173</v>
      </c>
      <c r="D783" t="s">
        <v>1252</v>
      </c>
      <c r="E783" t="str">
        <f t="shared" si="12"/>
        <v>City of Yucaipa</v>
      </c>
      <c r="F783">
        <v>3186</v>
      </c>
      <c r="G783" t="s">
        <v>4577</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4578</v>
      </c>
      <c r="B784">
        <v>1980</v>
      </c>
      <c r="C784" t="s">
        <v>173</v>
      </c>
      <c r="D784" t="s">
        <v>1254</v>
      </c>
      <c r="E784" t="str">
        <f t="shared" si="12"/>
        <v>City of Yucca Valley</v>
      </c>
      <c r="F784">
        <v>3187</v>
      </c>
      <c r="G784" t="s">
        <v>4579</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2512</v>
      </c>
    </row>
    <row r="2" spans="1:21" s="26" customFormat="1" ht="72" x14ac:dyDescent="0.3">
      <c r="A2" s="132" t="s">
        <v>2273</v>
      </c>
      <c r="B2" s="133" t="s">
        <v>2274</v>
      </c>
      <c r="C2" s="133" t="s">
        <v>2275</v>
      </c>
      <c r="D2" s="133" t="s">
        <v>2276</v>
      </c>
      <c r="E2" s="134" t="s">
        <v>2277</v>
      </c>
      <c r="F2" s="125" t="s">
        <v>2278</v>
      </c>
      <c r="G2" s="136" t="s">
        <v>2279</v>
      </c>
      <c r="H2" s="64" t="s">
        <v>2280</v>
      </c>
      <c r="I2" s="126" t="s">
        <v>2281</v>
      </c>
      <c r="J2" s="125" t="s">
        <v>2282</v>
      </c>
      <c r="K2" s="136" t="s">
        <v>2283</v>
      </c>
      <c r="L2" s="64" t="s">
        <v>2284</v>
      </c>
      <c r="M2" s="126" t="s">
        <v>2285</v>
      </c>
      <c r="N2" s="125" t="s">
        <v>2286</v>
      </c>
      <c r="O2" s="136" t="s">
        <v>2287</v>
      </c>
      <c r="P2" s="125" t="s">
        <v>2288</v>
      </c>
      <c r="Q2" s="136" t="s">
        <v>2289</v>
      </c>
      <c r="R2" s="125" t="s">
        <v>2290</v>
      </c>
      <c r="S2" s="136" t="s">
        <v>2291</v>
      </c>
      <c r="T2" s="132" t="s">
        <v>2292</v>
      </c>
      <c r="U2" s="134" t="s">
        <v>2293</v>
      </c>
    </row>
    <row r="3" spans="1:21" x14ac:dyDescent="0.3">
      <c r="A3" s="127" t="s">
        <v>2294</v>
      </c>
      <c r="B3" t="s">
        <v>2295</v>
      </c>
      <c r="C3" t="s">
        <v>2296</v>
      </c>
      <c r="D3">
        <v>2015</v>
      </c>
      <c r="E3" s="128" t="s">
        <v>2297</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2294</v>
      </c>
      <c r="B4" t="s">
        <v>2295</v>
      </c>
      <c r="C4" t="s">
        <v>2296</v>
      </c>
      <c r="D4">
        <v>2016</v>
      </c>
      <c r="E4" s="128" t="s">
        <v>2297</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2294</v>
      </c>
      <c r="B5" t="s">
        <v>2295</v>
      </c>
      <c r="C5" t="s">
        <v>2296</v>
      </c>
      <c r="D5">
        <v>2017</v>
      </c>
      <c r="E5" s="128" t="s">
        <v>2297</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2294</v>
      </c>
      <c r="B6" t="s">
        <v>2295</v>
      </c>
      <c r="C6" t="s">
        <v>2298</v>
      </c>
      <c r="D6">
        <v>2018</v>
      </c>
      <c r="E6" s="128" t="s">
        <v>2297</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2294</v>
      </c>
      <c r="B7" t="s">
        <v>2295</v>
      </c>
      <c r="C7" t="s">
        <v>2298</v>
      </c>
      <c r="D7">
        <v>2019</v>
      </c>
      <c r="E7" s="128" t="s">
        <v>2297</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2299</v>
      </c>
      <c r="B8" t="s">
        <v>2300</v>
      </c>
      <c r="C8" t="s">
        <v>2301</v>
      </c>
      <c r="D8">
        <v>2016</v>
      </c>
      <c r="E8" s="128" t="s">
        <v>2297</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2299</v>
      </c>
      <c r="B9" t="s">
        <v>2300</v>
      </c>
      <c r="C9" t="s">
        <v>2301</v>
      </c>
      <c r="D9">
        <v>2017</v>
      </c>
      <c r="E9" s="128" t="s">
        <v>2297</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2299</v>
      </c>
      <c r="B10" t="s">
        <v>2300</v>
      </c>
      <c r="C10" t="s">
        <v>2302</v>
      </c>
      <c r="D10">
        <v>2018</v>
      </c>
      <c r="E10" s="128" t="s">
        <v>2297</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2303</v>
      </c>
      <c r="B11" t="s">
        <v>2304</v>
      </c>
      <c r="C11" t="s">
        <v>2305</v>
      </c>
      <c r="D11">
        <v>2017</v>
      </c>
      <c r="E11" s="128" t="s">
        <v>2297</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2303</v>
      </c>
      <c r="B12" t="s">
        <v>2304</v>
      </c>
      <c r="C12" t="s">
        <v>2306</v>
      </c>
      <c r="D12">
        <v>2018</v>
      </c>
      <c r="E12" s="128" t="s">
        <v>2297</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2303</v>
      </c>
      <c r="B13" t="s">
        <v>2304</v>
      </c>
      <c r="C13" t="s">
        <v>2306</v>
      </c>
      <c r="D13">
        <v>2019</v>
      </c>
      <c r="E13" s="128" t="s">
        <v>2297</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2294</v>
      </c>
      <c r="B14" t="s">
        <v>2307</v>
      </c>
      <c r="C14" t="s">
        <v>2296</v>
      </c>
      <c r="D14">
        <v>2017</v>
      </c>
      <c r="E14" s="128" t="s">
        <v>2297</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2294</v>
      </c>
      <c r="B15" t="s">
        <v>2307</v>
      </c>
      <c r="C15" t="s">
        <v>2298</v>
      </c>
      <c r="D15">
        <v>2018</v>
      </c>
      <c r="E15" s="128" t="s">
        <v>2297</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2294</v>
      </c>
      <c r="B16" t="s">
        <v>2307</v>
      </c>
      <c r="C16" t="s">
        <v>2298</v>
      </c>
      <c r="D16">
        <v>2019</v>
      </c>
      <c r="E16" s="128" t="s">
        <v>2297</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2308</v>
      </c>
      <c r="B17" t="s">
        <v>2309</v>
      </c>
      <c r="C17" t="s">
        <v>2296</v>
      </c>
      <c r="D17">
        <v>2016</v>
      </c>
      <c r="E17" s="128" t="s">
        <v>2297</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2308</v>
      </c>
      <c r="B18" t="s">
        <v>2309</v>
      </c>
      <c r="C18" t="s">
        <v>2296</v>
      </c>
      <c r="D18">
        <v>2017</v>
      </c>
      <c r="E18" s="128" t="s">
        <v>2297</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2308</v>
      </c>
      <c r="B19" t="s">
        <v>2309</v>
      </c>
      <c r="C19" t="s">
        <v>2298</v>
      </c>
      <c r="D19">
        <v>2018</v>
      </c>
      <c r="E19" s="128" t="s">
        <v>2297</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2308</v>
      </c>
      <c r="B20" t="s">
        <v>2309</v>
      </c>
      <c r="C20" t="s">
        <v>2298</v>
      </c>
      <c r="D20">
        <v>2019</v>
      </c>
      <c r="E20" s="128" t="s">
        <v>2297</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2310</v>
      </c>
      <c r="B21" t="s">
        <v>2311</v>
      </c>
      <c r="C21" t="s">
        <v>2306</v>
      </c>
      <c r="D21">
        <v>2018</v>
      </c>
      <c r="E21" s="128" t="s">
        <v>2297</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2310</v>
      </c>
      <c r="B22" t="s">
        <v>2311</v>
      </c>
      <c r="C22" t="s">
        <v>2306</v>
      </c>
      <c r="D22">
        <v>2019</v>
      </c>
      <c r="E22" s="128" t="s">
        <v>2297</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2312</v>
      </c>
      <c r="B23" t="s">
        <v>2313</v>
      </c>
      <c r="C23" t="s">
        <v>2296</v>
      </c>
      <c r="D23">
        <v>2015</v>
      </c>
      <c r="E23" s="128" t="s">
        <v>2297</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2312</v>
      </c>
      <c r="B24" t="s">
        <v>2313</v>
      </c>
      <c r="C24" t="s">
        <v>2296</v>
      </c>
      <c r="D24">
        <v>2016</v>
      </c>
      <c r="E24" s="128" t="s">
        <v>2297</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2312</v>
      </c>
      <c r="B25" t="s">
        <v>2313</v>
      </c>
      <c r="C25" t="s">
        <v>2296</v>
      </c>
      <c r="D25">
        <v>2017</v>
      </c>
      <c r="E25" s="128" t="s">
        <v>2297</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2312</v>
      </c>
      <c r="B26" t="s">
        <v>2313</v>
      </c>
      <c r="C26" t="s">
        <v>2298</v>
      </c>
      <c r="D26">
        <v>2018</v>
      </c>
      <c r="E26" s="128" t="s">
        <v>2297</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2312</v>
      </c>
      <c r="B27" t="s">
        <v>2313</v>
      </c>
      <c r="C27" t="s">
        <v>2298</v>
      </c>
      <c r="D27">
        <v>2019</v>
      </c>
      <c r="E27" s="128" t="s">
        <v>2297</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2312</v>
      </c>
      <c r="B28" t="s">
        <v>2314</v>
      </c>
      <c r="C28" t="s">
        <v>2296</v>
      </c>
      <c r="D28">
        <v>2015</v>
      </c>
      <c r="E28" s="128" t="s">
        <v>2297</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2312</v>
      </c>
      <c r="B29" t="s">
        <v>2314</v>
      </c>
      <c r="C29" t="s">
        <v>2296</v>
      </c>
      <c r="D29">
        <v>2016</v>
      </c>
      <c r="E29" s="128" t="s">
        <v>2297</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2312</v>
      </c>
      <c r="B30" t="s">
        <v>2314</v>
      </c>
      <c r="C30" t="s">
        <v>2296</v>
      </c>
      <c r="D30">
        <v>2017</v>
      </c>
      <c r="E30" s="128" t="s">
        <v>2297</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2312</v>
      </c>
      <c r="B31" t="s">
        <v>2314</v>
      </c>
      <c r="C31" t="s">
        <v>2298</v>
      </c>
      <c r="D31">
        <v>2018</v>
      </c>
      <c r="E31" s="128" t="s">
        <v>2297</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2312</v>
      </c>
      <c r="B32" t="s">
        <v>2314</v>
      </c>
      <c r="C32" t="s">
        <v>2298</v>
      </c>
      <c r="D32">
        <v>2019</v>
      </c>
      <c r="E32" s="128" t="s">
        <v>2297</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2303</v>
      </c>
      <c r="B33" t="s">
        <v>2315</v>
      </c>
      <c r="C33" t="s">
        <v>2306</v>
      </c>
      <c r="D33">
        <v>2018</v>
      </c>
      <c r="E33" s="128" t="s">
        <v>2297</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2303</v>
      </c>
      <c r="B34" t="s">
        <v>2315</v>
      </c>
      <c r="C34" t="s">
        <v>2306</v>
      </c>
      <c r="D34">
        <v>2019</v>
      </c>
      <c r="E34" s="128" t="s">
        <v>2297</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2294</v>
      </c>
      <c r="B35" t="s">
        <v>2316</v>
      </c>
      <c r="C35" t="s">
        <v>2296</v>
      </c>
      <c r="D35">
        <v>2015</v>
      </c>
      <c r="E35" s="128" t="s">
        <v>2297</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2294</v>
      </c>
      <c r="B36" t="s">
        <v>2316</v>
      </c>
      <c r="C36" t="s">
        <v>2296</v>
      </c>
      <c r="D36">
        <v>2016</v>
      </c>
      <c r="E36" s="128" t="s">
        <v>2297</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2294</v>
      </c>
      <c r="B37" t="s">
        <v>2316</v>
      </c>
      <c r="C37" t="s">
        <v>2296</v>
      </c>
      <c r="D37">
        <v>2017</v>
      </c>
      <c r="E37" s="128" t="s">
        <v>2297</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2294</v>
      </c>
      <c r="B38" t="s">
        <v>2316</v>
      </c>
      <c r="C38" t="s">
        <v>2298</v>
      </c>
      <c r="D38">
        <v>2018</v>
      </c>
      <c r="E38" s="128" t="s">
        <v>2297</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2294</v>
      </c>
      <c r="B39" t="s">
        <v>2316</v>
      </c>
      <c r="C39" t="s">
        <v>2298</v>
      </c>
      <c r="D39">
        <v>2019</v>
      </c>
      <c r="E39" s="128" t="s">
        <v>2297</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2317</v>
      </c>
      <c r="B40" t="s">
        <v>2318</v>
      </c>
      <c r="C40" t="s">
        <v>2296</v>
      </c>
      <c r="D40">
        <v>2015</v>
      </c>
      <c r="E40" s="128" t="s">
        <v>2297</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2317</v>
      </c>
      <c r="B41" t="s">
        <v>2318</v>
      </c>
      <c r="C41" t="s">
        <v>2296</v>
      </c>
      <c r="D41">
        <v>2016</v>
      </c>
      <c r="E41" s="128" t="s">
        <v>2297</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2317</v>
      </c>
      <c r="B42" t="s">
        <v>2318</v>
      </c>
      <c r="C42" t="s">
        <v>2296</v>
      </c>
      <c r="D42">
        <v>2017</v>
      </c>
      <c r="E42" s="128" t="s">
        <v>2297</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2317</v>
      </c>
      <c r="B43" t="s">
        <v>2318</v>
      </c>
      <c r="C43" t="s">
        <v>2298</v>
      </c>
      <c r="D43">
        <v>2018</v>
      </c>
      <c r="E43" s="128" t="s">
        <v>2297</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2317</v>
      </c>
      <c r="B44" t="s">
        <v>2318</v>
      </c>
      <c r="C44" t="s">
        <v>2298</v>
      </c>
      <c r="D44">
        <v>2019</v>
      </c>
      <c r="E44" s="128" t="s">
        <v>2297</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2299</v>
      </c>
      <c r="B45" t="s">
        <v>2319</v>
      </c>
      <c r="C45" t="s">
        <v>2302</v>
      </c>
      <c r="D45">
        <v>2018</v>
      </c>
      <c r="E45" s="128" t="s">
        <v>2297</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2299</v>
      </c>
      <c r="B46" t="s">
        <v>2319</v>
      </c>
      <c r="C46" t="s">
        <v>2302</v>
      </c>
      <c r="D46">
        <v>2019</v>
      </c>
      <c r="E46" s="128" t="s">
        <v>2297</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2320</v>
      </c>
      <c r="B47" t="s">
        <v>2321</v>
      </c>
      <c r="C47" t="s">
        <v>2298</v>
      </c>
      <c r="D47">
        <v>2018</v>
      </c>
      <c r="E47" s="128" t="s">
        <v>2297</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2320</v>
      </c>
      <c r="B48" t="s">
        <v>2321</v>
      </c>
      <c r="C48" t="s">
        <v>2298</v>
      </c>
      <c r="D48">
        <v>2019</v>
      </c>
      <c r="E48" s="128" t="s">
        <v>2297</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2317</v>
      </c>
      <c r="B49" t="s">
        <v>2322</v>
      </c>
      <c r="C49" t="s">
        <v>2296</v>
      </c>
      <c r="D49">
        <v>2017</v>
      </c>
      <c r="E49" s="128" t="s">
        <v>2297</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2317</v>
      </c>
      <c r="B50" t="s">
        <v>2322</v>
      </c>
      <c r="C50" t="s">
        <v>2298</v>
      </c>
      <c r="D50">
        <v>2018</v>
      </c>
      <c r="E50" s="128" t="s">
        <v>2297</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2317</v>
      </c>
      <c r="B51" t="s">
        <v>2322</v>
      </c>
      <c r="C51" t="s">
        <v>2298</v>
      </c>
      <c r="D51">
        <v>2019</v>
      </c>
      <c r="E51" s="128" t="s">
        <v>2297</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2317</v>
      </c>
      <c r="B52" t="s">
        <v>2323</v>
      </c>
      <c r="C52" t="s">
        <v>2296</v>
      </c>
      <c r="D52">
        <v>2016</v>
      </c>
      <c r="E52" s="128" t="s">
        <v>2297</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2317</v>
      </c>
      <c r="B53" t="s">
        <v>2323</v>
      </c>
      <c r="C53" t="s">
        <v>2296</v>
      </c>
      <c r="D53">
        <v>2017</v>
      </c>
      <c r="E53" s="128" t="s">
        <v>2297</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2317</v>
      </c>
      <c r="B54" t="s">
        <v>2323</v>
      </c>
      <c r="C54" t="s">
        <v>2298</v>
      </c>
      <c r="D54">
        <v>2018</v>
      </c>
      <c r="E54" s="128" t="s">
        <v>2297</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2312</v>
      </c>
      <c r="B55" t="s">
        <v>2324</v>
      </c>
      <c r="C55" t="s">
        <v>2296</v>
      </c>
      <c r="D55">
        <v>2017</v>
      </c>
      <c r="E55" s="128" t="s">
        <v>2297</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2312</v>
      </c>
      <c r="B56" t="s">
        <v>2324</v>
      </c>
      <c r="C56" t="s">
        <v>2298</v>
      </c>
      <c r="D56">
        <v>2018</v>
      </c>
      <c r="E56" s="128" t="s">
        <v>2297</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2312</v>
      </c>
      <c r="B57" t="s">
        <v>2324</v>
      </c>
      <c r="C57" t="s">
        <v>2298</v>
      </c>
      <c r="D57">
        <v>2019</v>
      </c>
      <c r="E57" s="128" t="s">
        <v>2297</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2312</v>
      </c>
      <c r="B58" t="s">
        <v>2325</v>
      </c>
      <c r="C58" t="s">
        <v>2296</v>
      </c>
      <c r="D58">
        <v>2016</v>
      </c>
      <c r="E58" s="128" t="s">
        <v>2297</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2312</v>
      </c>
      <c r="B59" t="s">
        <v>2325</v>
      </c>
      <c r="C59" t="s">
        <v>2296</v>
      </c>
      <c r="D59">
        <v>2017</v>
      </c>
      <c r="E59" s="128" t="s">
        <v>2297</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2312</v>
      </c>
      <c r="B60" t="s">
        <v>2325</v>
      </c>
      <c r="C60" t="s">
        <v>2298</v>
      </c>
      <c r="D60">
        <v>2018</v>
      </c>
      <c r="E60" s="128" t="s">
        <v>2297</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2312</v>
      </c>
      <c r="B61" t="s">
        <v>2325</v>
      </c>
      <c r="C61" t="s">
        <v>2298</v>
      </c>
      <c r="D61">
        <v>2019</v>
      </c>
      <c r="E61" s="128" t="s">
        <v>2297</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2312</v>
      </c>
      <c r="B62" t="s">
        <v>2312</v>
      </c>
      <c r="C62" t="s">
        <v>2296</v>
      </c>
      <c r="D62">
        <v>2015</v>
      </c>
      <c r="E62" s="128" t="s">
        <v>2297</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2312</v>
      </c>
      <c r="B63" t="s">
        <v>2312</v>
      </c>
      <c r="C63" t="s">
        <v>2296</v>
      </c>
      <c r="D63">
        <v>2016</v>
      </c>
      <c r="E63" s="128" t="s">
        <v>2297</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2312</v>
      </c>
      <c r="B64" t="s">
        <v>2312</v>
      </c>
      <c r="C64" t="s">
        <v>2296</v>
      </c>
      <c r="D64">
        <v>2017</v>
      </c>
      <c r="E64" s="128" t="s">
        <v>2297</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2312</v>
      </c>
      <c r="B65" t="s">
        <v>2312</v>
      </c>
      <c r="C65" t="s">
        <v>2298</v>
      </c>
      <c r="D65">
        <v>2018</v>
      </c>
      <c r="E65" s="128" t="s">
        <v>2297</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2312</v>
      </c>
      <c r="B66" t="s">
        <v>2312</v>
      </c>
      <c r="C66" t="s">
        <v>2298</v>
      </c>
      <c r="D66">
        <v>2019</v>
      </c>
      <c r="E66" s="128" t="s">
        <v>2297</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2312</v>
      </c>
      <c r="B67" t="s">
        <v>2326</v>
      </c>
      <c r="C67" t="s">
        <v>2296</v>
      </c>
      <c r="D67">
        <v>2015</v>
      </c>
      <c r="E67" s="128" t="s">
        <v>2297</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2312</v>
      </c>
      <c r="B68" t="s">
        <v>2326</v>
      </c>
      <c r="C68" t="s">
        <v>2296</v>
      </c>
      <c r="D68">
        <v>2016</v>
      </c>
      <c r="E68" s="128" t="s">
        <v>2297</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2312</v>
      </c>
      <c r="B69" t="s">
        <v>2326</v>
      </c>
      <c r="C69" t="s">
        <v>2296</v>
      </c>
      <c r="D69">
        <v>2017</v>
      </c>
      <c r="E69" s="128" t="s">
        <v>2297</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2312</v>
      </c>
      <c r="B70" t="s">
        <v>2326</v>
      </c>
      <c r="C70" t="s">
        <v>2298</v>
      </c>
      <c r="D70">
        <v>2018</v>
      </c>
      <c r="E70" s="128" t="s">
        <v>2297</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2312</v>
      </c>
      <c r="B71" t="s">
        <v>2326</v>
      </c>
      <c r="C71" t="s">
        <v>2298</v>
      </c>
      <c r="D71">
        <v>2019</v>
      </c>
      <c r="E71" s="128" t="s">
        <v>2297</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2299</v>
      </c>
      <c r="B72" t="s">
        <v>2327</v>
      </c>
      <c r="C72" t="s">
        <v>2302</v>
      </c>
      <c r="D72">
        <v>2018</v>
      </c>
      <c r="E72" s="128" t="s">
        <v>2297</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2299</v>
      </c>
      <c r="B73" t="s">
        <v>2327</v>
      </c>
      <c r="C73" t="s">
        <v>2302</v>
      </c>
      <c r="D73">
        <v>2019</v>
      </c>
      <c r="E73" s="128" t="s">
        <v>2297</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2303</v>
      </c>
      <c r="B74" t="s">
        <v>2328</v>
      </c>
      <c r="C74" t="s">
        <v>2305</v>
      </c>
      <c r="D74">
        <v>2016</v>
      </c>
      <c r="E74" s="128" t="s">
        <v>2297</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2303</v>
      </c>
      <c r="B75" t="s">
        <v>2328</v>
      </c>
      <c r="C75" t="s">
        <v>2305</v>
      </c>
      <c r="D75">
        <v>2017</v>
      </c>
      <c r="E75" s="128" t="s">
        <v>2297</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2303</v>
      </c>
      <c r="B76" t="s">
        <v>2328</v>
      </c>
      <c r="C76" t="s">
        <v>2306</v>
      </c>
      <c r="D76">
        <v>2018</v>
      </c>
      <c r="E76" s="128" t="s">
        <v>2297</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2303</v>
      </c>
      <c r="B77" t="s">
        <v>2328</v>
      </c>
      <c r="C77" t="s">
        <v>2306</v>
      </c>
      <c r="D77">
        <v>2019</v>
      </c>
      <c r="E77" s="128" t="s">
        <v>2297</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2308</v>
      </c>
      <c r="B78" t="s">
        <v>2329</v>
      </c>
      <c r="C78" t="s">
        <v>2296</v>
      </c>
      <c r="D78">
        <v>2015</v>
      </c>
      <c r="E78" s="128" t="s">
        <v>2297</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2308</v>
      </c>
      <c r="B79" t="s">
        <v>2329</v>
      </c>
      <c r="C79" t="s">
        <v>2296</v>
      </c>
      <c r="D79">
        <v>2016</v>
      </c>
      <c r="E79" s="128" t="s">
        <v>2297</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2308</v>
      </c>
      <c r="B80" t="s">
        <v>2329</v>
      </c>
      <c r="C80" t="s">
        <v>2296</v>
      </c>
      <c r="D80">
        <v>2017</v>
      </c>
      <c r="E80" s="128" t="s">
        <v>2297</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2308</v>
      </c>
      <c r="B81" t="s">
        <v>2329</v>
      </c>
      <c r="C81" t="s">
        <v>2298</v>
      </c>
      <c r="D81">
        <v>2018</v>
      </c>
      <c r="E81" s="128" t="s">
        <v>2297</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2308</v>
      </c>
      <c r="B82" t="s">
        <v>2329</v>
      </c>
      <c r="C82" t="s">
        <v>2298</v>
      </c>
      <c r="D82">
        <v>2019</v>
      </c>
      <c r="E82" s="128" t="s">
        <v>2297</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2312</v>
      </c>
      <c r="B83" t="s">
        <v>2330</v>
      </c>
      <c r="C83" t="s">
        <v>2296</v>
      </c>
      <c r="D83">
        <v>2015</v>
      </c>
      <c r="E83" s="128" t="s">
        <v>2297</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2312</v>
      </c>
      <c r="B84" t="s">
        <v>2330</v>
      </c>
      <c r="C84" t="s">
        <v>2296</v>
      </c>
      <c r="D84">
        <v>2016</v>
      </c>
      <c r="E84" s="128" t="s">
        <v>2297</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2312</v>
      </c>
      <c r="B85" t="s">
        <v>2330</v>
      </c>
      <c r="C85" t="s">
        <v>2296</v>
      </c>
      <c r="D85">
        <v>2017</v>
      </c>
      <c r="E85" s="128" t="s">
        <v>2297</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2312</v>
      </c>
      <c r="B86" t="s">
        <v>2330</v>
      </c>
      <c r="C86" t="s">
        <v>2298</v>
      </c>
      <c r="D86">
        <v>2018</v>
      </c>
      <c r="E86" s="128" t="s">
        <v>2297</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2312</v>
      </c>
      <c r="B87" t="s">
        <v>2331</v>
      </c>
      <c r="C87" t="s">
        <v>2296</v>
      </c>
      <c r="D87">
        <v>2017</v>
      </c>
      <c r="E87" s="128" t="s">
        <v>2297</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2312</v>
      </c>
      <c r="B88" t="s">
        <v>2331</v>
      </c>
      <c r="C88" t="s">
        <v>2298</v>
      </c>
      <c r="D88">
        <v>2018</v>
      </c>
      <c r="E88" s="128" t="s">
        <v>2297</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2312</v>
      </c>
      <c r="B89" t="s">
        <v>2331</v>
      </c>
      <c r="C89" t="s">
        <v>2298</v>
      </c>
      <c r="D89">
        <v>2019</v>
      </c>
      <c r="E89" s="128" t="s">
        <v>2297</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2294</v>
      </c>
      <c r="B90" t="s">
        <v>2332</v>
      </c>
      <c r="C90" t="s">
        <v>2296</v>
      </c>
      <c r="D90">
        <v>2015</v>
      </c>
      <c r="E90" s="128" t="s">
        <v>2297</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2294</v>
      </c>
      <c r="B91" t="s">
        <v>2332</v>
      </c>
      <c r="C91" t="s">
        <v>2296</v>
      </c>
      <c r="D91">
        <v>2016</v>
      </c>
      <c r="E91" s="128" t="s">
        <v>2297</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2294</v>
      </c>
      <c r="B92" t="s">
        <v>2332</v>
      </c>
      <c r="C92" t="s">
        <v>2296</v>
      </c>
      <c r="D92">
        <v>2017</v>
      </c>
      <c r="E92" s="128" t="s">
        <v>2297</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2294</v>
      </c>
      <c r="B93" t="s">
        <v>2332</v>
      </c>
      <c r="C93" t="s">
        <v>2298</v>
      </c>
      <c r="D93">
        <v>2018</v>
      </c>
      <c r="E93" s="128" t="s">
        <v>2297</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2294</v>
      </c>
      <c r="B94" t="s">
        <v>2332</v>
      </c>
      <c r="C94" t="s">
        <v>2298</v>
      </c>
      <c r="D94">
        <v>2019</v>
      </c>
      <c r="E94" s="128" t="s">
        <v>2297</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2303</v>
      </c>
      <c r="B95" t="s">
        <v>2333</v>
      </c>
      <c r="C95" t="s">
        <v>2305</v>
      </c>
      <c r="D95">
        <v>2017</v>
      </c>
      <c r="E95" s="128" t="s">
        <v>2297</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2303</v>
      </c>
      <c r="B96" t="s">
        <v>2333</v>
      </c>
      <c r="C96" t="s">
        <v>2306</v>
      </c>
      <c r="D96">
        <v>2018</v>
      </c>
      <c r="E96" s="128" t="s">
        <v>2297</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2303</v>
      </c>
      <c r="B97" t="s">
        <v>2333</v>
      </c>
      <c r="C97" t="s">
        <v>2306</v>
      </c>
      <c r="D97">
        <v>2019</v>
      </c>
      <c r="E97" s="128" t="s">
        <v>2297</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2312</v>
      </c>
      <c r="B98" t="s">
        <v>2334</v>
      </c>
      <c r="C98" t="s">
        <v>2296</v>
      </c>
      <c r="D98">
        <v>2017</v>
      </c>
      <c r="E98" s="128" t="s">
        <v>2297</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2312</v>
      </c>
      <c r="B99" t="s">
        <v>2334</v>
      </c>
      <c r="C99" t="s">
        <v>2298</v>
      </c>
      <c r="D99">
        <v>2018</v>
      </c>
      <c r="E99" s="128" t="s">
        <v>2297</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2312</v>
      </c>
      <c r="B100" t="s">
        <v>2334</v>
      </c>
      <c r="C100" t="s">
        <v>2298</v>
      </c>
      <c r="D100">
        <v>2019</v>
      </c>
      <c r="E100" s="128" t="s">
        <v>2297</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2320</v>
      </c>
      <c r="B101" t="s">
        <v>2335</v>
      </c>
      <c r="C101" t="s">
        <v>2296</v>
      </c>
      <c r="D101">
        <v>2015</v>
      </c>
      <c r="E101" s="128" t="s">
        <v>2297</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2320</v>
      </c>
      <c r="B102" t="s">
        <v>2335</v>
      </c>
      <c r="C102" t="s">
        <v>2296</v>
      </c>
      <c r="D102">
        <v>2016</v>
      </c>
      <c r="E102" s="128" t="s">
        <v>2297</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2320</v>
      </c>
      <c r="B103" t="s">
        <v>2335</v>
      </c>
      <c r="C103" t="s">
        <v>2296</v>
      </c>
      <c r="D103">
        <v>2017</v>
      </c>
      <c r="E103" s="128" t="s">
        <v>2297</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2320</v>
      </c>
      <c r="B104" t="s">
        <v>2335</v>
      </c>
      <c r="C104" t="s">
        <v>2298</v>
      </c>
      <c r="D104">
        <v>2018</v>
      </c>
      <c r="E104" s="128" t="s">
        <v>2297</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2320</v>
      </c>
      <c r="B105" t="s">
        <v>2335</v>
      </c>
      <c r="C105" t="s">
        <v>2298</v>
      </c>
      <c r="D105">
        <v>2019</v>
      </c>
      <c r="E105" s="128" t="s">
        <v>2297</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2303</v>
      </c>
      <c r="B106" t="s">
        <v>2336</v>
      </c>
      <c r="C106" t="s">
        <v>2306</v>
      </c>
      <c r="D106">
        <v>2018</v>
      </c>
      <c r="E106" s="128" t="s">
        <v>2297</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2303</v>
      </c>
      <c r="B107" t="s">
        <v>2336</v>
      </c>
      <c r="C107" t="s">
        <v>2306</v>
      </c>
      <c r="D107">
        <v>2019</v>
      </c>
      <c r="E107" s="128" t="s">
        <v>2297</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2317</v>
      </c>
      <c r="B108" t="s">
        <v>2337</v>
      </c>
      <c r="C108" t="s">
        <v>2296</v>
      </c>
      <c r="D108">
        <v>2015</v>
      </c>
      <c r="E108" s="128" t="s">
        <v>2297</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2317</v>
      </c>
      <c r="B109" t="s">
        <v>2337</v>
      </c>
      <c r="C109" t="s">
        <v>2296</v>
      </c>
      <c r="D109">
        <v>2016</v>
      </c>
      <c r="E109" s="128" t="s">
        <v>2297</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2317</v>
      </c>
      <c r="B110" t="s">
        <v>2337</v>
      </c>
      <c r="C110" t="s">
        <v>2296</v>
      </c>
      <c r="D110">
        <v>2017</v>
      </c>
      <c r="E110" s="128" t="s">
        <v>2297</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2317</v>
      </c>
      <c r="B111" t="s">
        <v>2337</v>
      </c>
      <c r="C111" t="s">
        <v>2298</v>
      </c>
      <c r="D111">
        <v>2018</v>
      </c>
      <c r="E111" s="128" t="s">
        <v>2297</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2317</v>
      </c>
      <c r="B112" t="s">
        <v>2337</v>
      </c>
      <c r="C112" t="s">
        <v>2298</v>
      </c>
      <c r="D112">
        <v>2019</v>
      </c>
      <c r="E112" s="128" t="s">
        <v>2297</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2299</v>
      </c>
      <c r="B113" t="s">
        <v>2338</v>
      </c>
      <c r="C113" t="s">
        <v>2301</v>
      </c>
      <c r="D113">
        <v>2016</v>
      </c>
      <c r="E113" s="128" t="s">
        <v>2297</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2299</v>
      </c>
      <c r="B114" t="s">
        <v>2338</v>
      </c>
      <c r="C114" t="s">
        <v>2301</v>
      </c>
      <c r="D114">
        <v>2017</v>
      </c>
      <c r="E114" s="128" t="s">
        <v>2297</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2299</v>
      </c>
      <c r="B115" t="s">
        <v>2338</v>
      </c>
      <c r="C115" t="s">
        <v>2302</v>
      </c>
      <c r="D115">
        <v>2018</v>
      </c>
      <c r="E115" s="128" t="s">
        <v>2297</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2299</v>
      </c>
      <c r="B116" t="s">
        <v>2338</v>
      </c>
      <c r="C116" t="s">
        <v>2302</v>
      </c>
      <c r="D116">
        <v>2019</v>
      </c>
      <c r="E116" s="128" t="s">
        <v>2297</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2320</v>
      </c>
      <c r="B117" t="s">
        <v>2339</v>
      </c>
      <c r="C117" t="s">
        <v>2296</v>
      </c>
      <c r="D117">
        <v>2017</v>
      </c>
      <c r="E117" s="128" t="s">
        <v>2297</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2320</v>
      </c>
      <c r="B118" t="s">
        <v>2339</v>
      </c>
      <c r="C118" t="s">
        <v>2298</v>
      </c>
      <c r="D118">
        <v>2018</v>
      </c>
      <c r="E118" s="128" t="s">
        <v>2297</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2299</v>
      </c>
      <c r="B119" t="s">
        <v>2340</v>
      </c>
      <c r="C119" t="s">
        <v>2301</v>
      </c>
      <c r="D119">
        <v>2016</v>
      </c>
      <c r="E119" s="128" t="s">
        <v>2297</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2299</v>
      </c>
      <c r="B120" t="s">
        <v>2340</v>
      </c>
      <c r="C120" t="s">
        <v>2301</v>
      </c>
      <c r="D120">
        <v>2017</v>
      </c>
      <c r="E120" s="128" t="s">
        <v>2297</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2299</v>
      </c>
      <c r="B121" t="s">
        <v>2340</v>
      </c>
      <c r="C121" t="s">
        <v>2302</v>
      </c>
      <c r="D121">
        <v>2018</v>
      </c>
      <c r="E121" s="128" t="s">
        <v>2297</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2299</v>
      </c>
      <c r="B122" t="s">
        <v>2340</v>
      </c>
      <c r="C122" t="s">
        <v>2302</v>
      </c>
      <c r="D122">
        <v>2019</v>
      </c>
      <c r="E122" s="128" t="s">
        <v>2297</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2310</v>
      </c>
      <c r="B123" t="s">
        <v>2310</v>
      </c>
      <c r="C123" t="s">
        <v>2341</v>
      </c>
      <c r="D123">
        <v>2014</v>
      </c>
      <c r="E123" s="128" t="s">
        <v>2297</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2310</v>
      </c>
      <c r="B124" t="s">
        <v>2310</v>
      </c>
      <c r="C124" t="s">
        <v>2341</v>
      </c>
      <c r="D124">
        <v>2015</v>
      </c>
      <c r="E124" s="128" t="s">
        <v>2297</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2310</v>
      </c>
      <c r="B125" t="s">
        <v>2310</v>
      </c>
      <c r="C125" t="s">
        <v>2305</v>
      </c>
      <c r="D125">
        <v>2016</v>
      </c>
      <c r="E125" s="128" t="s">
        <v>2297</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2310</v>
      </c>
      <c r="B126" t="s">
        <v>2310</v>
      </c>
      <c r="C126" t="s">
        <v>2305</v>
      </c>
      <c r="D126">
        <v>2017</v>
      </c>
      <c r="E126" s="128" t="s">
        <v>2297</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2310</v>
      </c>
      <c r="B127" t="s">
        <v>2310</v>
      </c>
      <c r="C127" t="s">
        <v>2306</v>
      </c>
      <c r="D127">
        <v>2018</v>
      </c>
      <c r="E127" s="128" t="s">
        <v>2297</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2310</v>
      </c>
      <c r="B128" t="s">
        <v>2310</v>
      </c>
      <c r="C128" t="s">
        <v>2306</v>
      </c>
      <c r="D128">
        <v>2019</v>
      </c>
      <c r="E128" s="128" t="s">
        <v>2297</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2310</v>
      </c>
      <c r="B129" t="s">
        <v>2342</v>
      </c>
      <c r="C129" t="s">
        <v>2341</v>
      </c>
      <c r="D129">
        <v>2015</v>
      </c>
      <c r="E129" s="128" t="s">
        <v>2297</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2310</v>
      </c>
      <c r="B130" t="s">
        <v>2342</v>
      </c>
      <c r="C130" t="s">
        <v>2305</v>
      </c>
      <c r="D130">
        <v>2016</v>
      </c>
      <c r="E130" s="128" t="s">
        <v>2297</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2310</v>
      </c>
      <c r="B131" t="s">
        <v>2342</v>
      </c>
      <c r="C131" t="s">
        <v>2305</v>
      </c>
      <c r="D131">
        <v>2017</v>
      </c>
      <c r="E131" s="128" t="s">
        <v>2297</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2310</v>
      </c>
      <c r="B132" t="s">
        <v>2342</v>
      </c>
      <c r="C132" t="s">
        <v>2306</v>
      </c>
      <c r="D132">
        <v>2018</v>
      </c>
      <c r="E132" s="128" t="s">
        <v>2297</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2310</v>
      </c>
      <c r="B133" t="s">
        <v>2342</v>
      </c>
      <c r="C133" t="s">
        <v>2306</v>
      </c>
      <c r="D133">
        <v>2019</v>
      </c>
      <c r="E133" s="128" t="s">
        <v>2297</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2320</v>
      </c>
      <c r="B134" t="s">
        <v>2343</v>
      </c>
      <c r="C134" t="s">
        <v>2298</v>
      </c>
      <c r="D134">
        <v>2018</v>
      </c>
      <c r="E134" s="128" t="s">
        <v>2297</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2320</v>
      </c>
      <c r="B135" t="s">
        <v>2343</v>
      </c>
      <c r="C135" t="s">
        <v>2298</v>
      </c>
      <c r="D135">
        <v>2019</v>
      </c>
      <c r="E135" s="128" t="s">
        <v>2297</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2294</v>
      </c>
      <c r="B136" t="s">
        <v>2344</v>
      </c>
      <c r="C136" t="s">
        <v>2298</v>
      </c>
      <c r="D136">
        <v>2018</v>
      </c>
      <c r="E136" s="128" t="s">
        <v>2297</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2294</v>
      </c>
      <c r="B137" t="s">
        <v>2344</v>
      </c>
      <c r="C137" t="s">
        <v>2298</v>
      </c>
      <c r="D137">
        <v>2019</v>
      </c>
      <c r="E137" s="128" t="s">
        <v>2297</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2294</v>
      </c>
      <c r="B138" t="s">
        <v>2345</v>
      </c>
      <c r="C138" t="s">
        <v>2296</v>
      </c>
      <c r="D138">
        <v>2016</v>
      </c>
      <c r="E138" s="128" t="s">
        <v>2297</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2294</v>
      </c>
      <c r="B139" t="s">
        <v>2345</v>
      </c>
      <c r="C139" t="s">
        <v>2296</v>
      </c>
      <c r="D139">
        <v>2017</v>
      </c>
      <c r="E139" s="128" t="s">
        <v>2297</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2294</v>
      </c>
      <c r="B140" t="s">
        <v>2345</v>
      </c>
      <c r="C140" t="s">
        <v>2298</v>
      </c>
      <c r="D140">
        <v>2019</v>
      </c>
      <c r="E140" s="128" t="s">
        <v>2297</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2312</v>
      </c>
      <c r="B141" t="s">
        <v>2346</v>
      </c>
      <c r="C141" t="s">
        <v>2296</v>
      </c>
      <c r="D141">
        <v>2017</v>
      </c>
      <c r="E141" s="128" t="s">
        <v>2297</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2299</v>
      </c>
      <c r="B142" t="s">
        <v>2299</v>
      </c>
      <c r="C142" t="s">
        <v>2301</v>
      </c>
      <c r="D142">
        <v>2017</v>
      </c>
      <c r="E142" s="128" t="s">
        <v>2297</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2299</v>
      </c>
      <c r="B143" t="s">
        <v>2299</v>
      </c>
      <c r="C143" t="s">
        <v>2302</v>
      </c>
      <c r="D143">
        <v>2018</v>
      </c>
      <c r="E143" s="128" t="s">
        <v>2297</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2299</v>
      </c>
      <c r="B144" t="s">
        <v>2299</v>
      </c>
      <c r="C144" t="s">
        <v>2302</v>
      </c>
      <c r="D144">
        <v>2019</v>
      </c>
      <c r="E144" s="128" t="s">
        <v>2297</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2299</v>
      </c>
      <c r="B145" t="s">
        <v>2347</v>
      </c>
      <c r="C145" t="s">
        <v>2301</v>
      </c>
      <c r="D145">
        <v>2016</v>
      </c>
      <c r="E145" s="128" t="s">
        <v>2297</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2299</v>
      </c>
      <c r="B146" t="s">
        <v>2347</v>
      </c>
      <c r="C146" t="s">
        <v>2301</v>
      </c>
      <c r="D146">
        <v>2017</v>
      </c>
      <c r="E146" s="128" t="s">
        <v>2297</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2299</v>
      </c>
      <c r="B147" t="s">
        <v>2347</v>
      </c>
      <c r="C147" t="s">
        <v>2302</v>
      </c>
      <c r="D147">
        <v>2018</v>
      </c>
      <c r="E147" s="128" t="s">
        <v>2297</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2299</v>
      </c>
      <c r="B148" t="s">
        <v>2347</v>
      </c>
      <c r="C148" t="s">
        <v>2302</v>
      </c>
      <c r="D148">
        <v>2019</v>
      </c>
      <c r="E148" s="128" t="s">
        <v>2297</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2308</v>
      </c>
      <c r="B149" t="s">
        <v>2348</v>
      </c>
      <c r="C149" t="s">
        <v>2296</v>
      </c>
      <c r="D149">
        <v>2015</v>
      </c>
      <c r="E149" s="128" t="s">
        <v>2297</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2308</v>
      </c>
      <c r="B150" t="s">
        <v>2348</v>
      </c>
      <c r="C150" t="s">
        <v>2296</v>
      </c>
      <c r="D150">
        <v>2016</v>
      </c>
      <c r="E150" s="128" t="s">
        <v>2297</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2308</v>
      </c>
      <c r="B151" t="s">
        <v>2348</v>
      </c>
      <c r="C151" t="s">
        <v>2296</v>
      </c>
      <c r="D151">
        <v>2017</v>
      </c>
      <c r="E151" s="128" t="s">
        <v>2297</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2308</v>
      </c>
      <c r="B152" t="s">
        <v>2348</v>
      </c>
      <c r="C152" t="s">
        <v>2298</v>
      </c>
      <c r="D152">
        <v>2018</v>
      </c>
      <c r="E152" s="128" t="s">
        <v>2297</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2308</v>
      </c>
      <c r="B153" t="s">
        <v>2348</v>
      </c>
      <c r="C153" t="s">
        <v>2298</v>
      </c>
      <c r="D153">
        <v>2019</v>
      </c>
      <c r="E153" s="128" t="s">
        <v>2297</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2308</v>
      </c>
      <c r="B154" t="s">
        <v>2349</v>
      </c>
      <c r="C154" t="s">
        <v>2298</v>
      </c>
      <c r="D154">
        <v>2018</v>
      </c>
      <c r="E154" s="128" t="s">
        <v>2297</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2308</v>
      </c>
      <c r="B155" t="s">
        <v>2349</v>
      </c>
      <c r="C155" t="s">
        <v>2298</v>
      </c>
      <c r="D155">
        <v>2019</v>
      </c>
      <c r="E155" s="128" t="s">
        <v>2297</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2308</v>
      </c>
      <c r="B156" t="s">
        <v>2350</v>
      </c>
      <c r="C156" t="s">
        <v>2296</v>
      </c>
      <c r="D156">
        <v>2016</v>
      </c>
      <c r="E156" s="128" t="s">
        <v>2297</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2308</v>
      </c>
      <c r="B157" t="s">
        <v>2350</v>
      </c>
      <c r="C157" t="s">
        <v>2296</v>
      </c>
      <c r="D157">
        <v>2017</v>
      </c>
      <c r="E157" s="128" t="s">
        <v>2297</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2308</v>
      </c>
      <c r="B158" t="s">
        <v>2350</v>
      </c>
      <c r="C158" t="s">
        <v>2298</v>
      </c>
      <c r="D158">
        <v>2018</v>
      </c>
      <c r="E158" s="128" t="s">
        <v>2297</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2308</v>
      </c>
      <c r="B159" t="s">
        <v>2350</v>
      </c>
      <c r="C159" t="s">
        <v>2298</v>
      </c>
      <c r="D159">
        <v>2019</v>
      </c>
      <c r="E159" s="128" t="s">
        <v>2297</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2312</v>
      </c>
      <c r="B160" t="s">
        <v>2351</v>
      </c>
      <c r="C160" t="s">
        <v>2296</v>
      </c>
      <c r="D160">
        <v>2017</v>
      </c>
      <c r="E160" s="128" t="s">
        <v>2297</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2312</v>
      </c>
      <c r="B161" t="s">
        <v>2351</v>
      </c>
      <c r="C161" t="s">
        <v>2298</v>
      </c>
      <c r="D161">
        <v>2018</v>
      </c>
      <c r="E161" s="128" t="s">
        <v>2297</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2312</v>
      </c>
      <c r="B162" t="s">
        <v>2351</v>
      </c>
      <c r="C162" t="s">
        <v>2298</v>
      </c>
      <c r="D162">
        <v>2019</v>
      </c>
      <c r="E162" s="128" t="s">
        <v>2297</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2312</v>
      </c>
      <c r="B163" t="s">
        <v>2352</v>
      </c>
      <c r="C163" t="s">
        <v>2296</v>
      </c>
      <c r="D163">
        <v>2015</v>
      </c>
      <c r="E163" s="128" t="s">
        <v>2297</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2312</v>
      </c>
      <c r="B164" t="s">
        <v>2352</v>
      </c>
      <c r="C164" t="s">
        <v>2296</v>
      </c>
      <c r="D164">
        <v>2016</v>
      </c>
      <c r="E164" s="128" t="s">
        <v>2297</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2312</v>
      </c>
      <c r="B165" t="s">
        <v>2352</v>
      </c>
      <c r="C165" t="s">
        <v>2296</v>
      </c>
      <c r="D165">
        <v>2017</v>
      </c>
      <c r="E165" s="128" t="s">
        <v>2297</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2312</v>
      </c>
      <c r="B166" t="s">
        <v>2352</v>
      </c>
      <c r="C166" t="s">
        <v>2298</v>
      </c>
      <c r="D166">
        <v>2018</v>
      </c>
      <c r="E166" s="128" t="s">
        <v>2297</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2317</v>
      </c>
      <c r="B167" t="s">
        <v>2353</v>
      </c>
      <c r="C167" t="s">
        <v>2296</v>
      </c>
      <c r="D167">
        <v>2015</v>
      </c>
      <c r="E167" s="128" t="s">
        <v>2297</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2317</v>
      </c>
      <c r="B168" t="s">
        <v>2353</v>
      </c>
      <c r="C168" t="s">
        <v>2296</v>
      </c>
      <c r="D168">
        <v>2016</v>
      </c>
      <c r="E168" s="128" t="s">
        <v>2297</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2317</v>
      </c>
      <c r="B169" t="s">
        <v>2353</v>
      </c>
      <c r="C169" t="s">
        <v>2296</v>
      </c>
      <c r="D169">
        <v>2017</v>
      </c>
      <c r="E169" s="128" t="s">
        <v>2297</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2317</v>
      </c>
      <c r="B170" t="s">
        <v>2353</v>
      </c>
      <c r="C170" t="s">
        <v>2298</v>
      </c>
      <c r="D170">
        <v>2018</v>
      </c>
      <c r="E170" s="128" t="s">
        <v>2297</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2317</v>
      </c>
      <c r="B171" t="s">
        <v>2353</v>
      </c>
      <c r="C171" t="s">
        <v>2298</v>
      </c>
      <c r="D171">
        <v>2019</v>
      </c>
      <c r="E171" s="128" t="s">
        <v>2297</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2312</v>
      </c>
      <c r="B172" t="s">
        <v>2354</v>
      </c>
      <c r="C172" t="s">
        <v>2296</v>
      </c>
      <c r="D172">
        <v>2015</v>
      </c>
      <c r="E172" s="128" t="s">
        <v>2297</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2312</v>
      </c>
      <c r="B173" t="s">
        <v>2354</v>
      </c>
      <c r="C173" t="s">
        <v>2296</v>
      </c>
      <c r="D173">
        <v>2016</v>
      </c>
      <c r="E173" s="128" t="s">
        <v>2297</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2312</v>
      </c>
      <c r="B174" t="s">
        <v>2354</v>
      </c>
      <c r="C174" t="s">
        <v>2296</v>
      </c>
      <c r="D174">
        <v>2017</v>
      </c>
      <c r="E174" s="128" t="s">
        <v>2297</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2312</v>
      </c>
      <c r="B175" t="s">
        <v>2354</v>
      </c>
      <c r="C175" t="s">
        <v>2298</v>
      </c>
      <c r="D175">
        <v>2018</v>
      </c>
      <c r="E175" s="128" t="s">
        <v>2297</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2312</v>
      </c>
      <c r="B176" t="s">
        <v>2354</v>
      </c>
      <c r="C176" t="s">
        <v>2298</v>
      </c>
      <c r="D176">
        <v>2019</v>
      </c>
      <c r="E176" s="128" t="s">
        <v>2297</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2320</v>
      </c>
      <c r="B177" t="s">
        <v>2355</v>
      </c>
      <c r="C177" t="s">
        <v>2298</v>
      </c>
      <c r="D177">
        <v>2018</v>
      </c>
      <c r="E177" s="128" t="s">
        <v>2297</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2320</v>
      </c>
      <c r="B178" t="s">
        <v>2355</v>
      </c>
      <c r="C178" t="s">
        <v>2298</v>
      </c>
      <c r="D178">
        <v>2019</v>
      </c>
      <c r="E178" s="128" t="s">
        <v>2297</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2308</v>
      </c>
      <c r="B179" t="s">
        <v>2356</v>
      </c>
      <c r="C179" t="s">
        <v>2296</v>
      </c>
      <c r="D179">
        <v>2015</v>
      </c>
      <c r="E179" s="128" t="s">
        <v>2297</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2308</v>
      </c>
      <c r="B180" t="s">
        <v>2356</v>
      </c>
      <c r="C180" t="s">
        <v>2296</v>
      </c>
      <c r="D180">
        <v>2016</v>
      </c>
      <c r="E180" s="128" t="s">
        <v>2297</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2308</v>
      </c>
      <c r="B181" t="s">
        <v>2356</v>
      </c>
      <c r="C181" t="s">
        <v>2296</v>
      </c>
      <c r="D181">
        <v>2017</v>
      </c>
      <c r="E181" s="128" t="s">
        <v>2297</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2308</v>
      </c>
      <c r="B182" t="s">
        <v>2356</v>
      </c>
      <c r="C182" t="s">
        <v>2298</v>
      </c>
      <c r="D182">
        <v>2018</v>
      </c>
      <c r="E182" s="128" t="s">
        <v>2297</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2308</v>
      </c>
      <c r="B183" t="s">
        <v>2356</v>
      </c>
      <c r="C183" t="s">
        <v>2298</v>
      </c>
      <c r="D183">
        <v>2019</v>
      </c>
      <c r="E183" s="128" t="s">
        <v>2297</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2312</v>
      </c>
      <c r="B184" t="s">
        <v>2320</v>
      </c>
      <c r="C184" t="s">
        <v>2298</v>
      </c>
      <c r="D184">
        <v>2018</v>
      </c>
      <c r="E184" s="128" t="s">
        <v>2297</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2312</v>
      </c>
      <c r="B185" t="s">
        <v>2320</v>
      </c>
      <c r="C185" t="s">
        <v>2298</v>
      </c>
      <c r="D185">
        <v>2019</v>
      </c>
      <c r="E185" s="128" t="s">
        <v>2297</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2320</v>
      </c>
      <c r="B186" t="s">
        <v>2357</v>
      </c>
      <c r="C186" t="s">
        <v>2296</v>
      </c>
      <c r="D186">
        <v>2015</v>
      </c>
      <c r="E186" s="128" t="s">
        <v>2297</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2320</v>
      </c>
      <c r="B187" t="s">
        <v>2357</v>
      </c>
      <c r="C187" t="s">
        <v>2296</v>
      </c>
      <c r="D187">
        <v>2016</v>
      </c>
      <c r="E187" s="128" t="s">
        <v>2297</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2320</v>
      </c>
      <c r="B188" t="s">
        <v>2357</v>
      </c>
      <c r="C188" t="s">
        <v>2296</v>
      </c>
      <c r="D188">
        <v>2017</v>
      </c>
      <c r="E188" s="128" t="s">
        <v>2297</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2320</v>
      </c>
      <c r="B189" t="s">
        <v>2357</v>
      </c>
      <c r="C189" t="s">
        <v>2298</v>
      </c>
      <c r="D189">
        <v>2018</v>
      </c>
      <c r="E189" s="128" t="s">
        <v>2297</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2320</v>
      </c>
      <c r="B190" t="s">
        <v>2357</v>
      </c>
      <c r="C190" t="s">
        <v>2298</v>
      </c>
      <c r="D190">
        <v>2019</v>
      </c>
      <c r="E190" s="128" t="s">
        <v>2297</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2312</v>
      </c>
      <c r="B191" t="s">
        <v>2358</v>
      </c>
      <c r="C191" t="s">
        <v>2296</v>
      </c>
      <c r="D191">
        <v>2016</v>
      </c>
      <c r="E191" s="128" t="s">
        <v>2297</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2312</v>
      </c>
      <c r="B192" t="s">
        <v>2358</v>
      </c>
      <c r="C192" t="s">
        <v>2298</v>
      </c>
      <c r="D192">
        <v>2018</v>
      </c>
      <c r="E192" s="128" t="s">
        <v>2297</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2312</v>
      </c>
      <c r="B193" t="s">
        <v>2358</v>
      </c>
      <c r="C193" t="s">
        <v>2298</v>
      </c>
      <c r="D193">
        <v>2019</v>
      </c>
      <c r="E193" s="128" t="s">
        <v>2297</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2312</v>
      </c>
      <c r="B194" t="s">
        <v>2359</v>
      </c>
      <c r="C194" t="s">
        <v>2296</v>
      </c>
      <c r="D194">
        <v>2015</v>
      </c>
      <c r="E194" s="128" t="s">
        <v>2297</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2312</v>
      </c>
      <c r="B195" t="s">
        <v>2359</v>
      </c>
      <c r="C195" t="s">
        <v>2296</v>
      </c>
      <c r="D195">
        <v>2016</v>
      </c>
      <c r="E195" s="128" t="s">
        <v>2297</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2312</v>
      </c>
      <c r="B196" t="s">
        <v>2359</v>
      </c>
      <c r="C196" t="s">
        <v>2296</v>
      </c>
      <c r="D196">
        <v>2017</v>
      </c>
      <c r="E196" s="128" t="s">
        <v>2297</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2312</v>
      </c>
      <c r="B197" t="s">
        <v>2359</v>
      </c>
      <c r="C197" t="s">
        <v>2298</v>
      </c>
      <c r="D197">
        <v>2018</v>
      </c>
      <c r="E197" s="128" t="s">
        <v>2297</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2312</v>
      </c>
      <c r="B198" t="s">
        <v>2359</v>
      </c>
      <c r="C198" t="s">
        <v>2298</v>
      </c>
      <c r="D198">
        <v>2019</v>
      </c>
      <c r="E198" s="128" t="s">
        <v>2297</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2308</v>
      </c>
      <c r="B199" t="s">
        <v>2360</v>
      </c>
      <c r="C199" t="s">
        <v>2296</v>
      </c>
      <c r="D199">
        <v>2015</v>
      </c>
      <c r="E199" s="128" t="s">
        <v>2297</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2308</v>
      </c>
      <c r="B200" t="s">
        <v>2360</v>
      </c>
      <c r="C200" t="s">
        <v>2296</v>
      </c>
      <c r="D200">
        <v>2016</v>
      </c>
      <c r="E200" s="128" t="s">
        <v>2297</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2308</v>
      </c>
      <c r="B201" t="s">
        <v>2360</v>
      </c>
      <c r="C201" t="s">
        <v>2296</v>
      </c>
      <c r="D201">
        <v>2017</v>
      </c>
      <c r="E201" s="128" t="s">
        <v>2297</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2308</v>
      </c>
      <c r="B202" t="s">
        <v>2360</v>
      </c>
      <c r="C202" t="s">
        <v>2298</v>
      </c>
      <c r="D202">
        <v>2018</v>
      </c>
      <c r="E202" s="128" t="s">
        <v>2297</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2308</v>
      </c>
      <c r="B203" t="s">
        <v>2360</v>
      </c>
      <c r="C203" t="s">
        <v>2298</v>
      </c>
      <c r="D203">
        <v>2019</v>
      </c>
      <c r="E203" s="128" t="s">
        <v>2297</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2320</v>
      </c>
      <c r="B204" t="s">
        <v>2361</v>
      </c>
      <c r="C204" t="s">
        <v>2296</v>
      </c>
      <c r="D204">
        <v>2017</v>
      </c>
      <c r="E204" s="128" t="s">
        <v>2297</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2320</v>
      </c>
      <c r="B205" t="s">
        <v>2361</v>
      </c>
      <c r="C205" t="s">
        <v>2298</v>
      </c>
      <c r="D205">
        <v>2018</v>
      </c>
      <c r="E205" s="128" t="s">
        <v>2297</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2320</v>
      </c>
      <c r="B206" t="s">
        <v>2361</v>
      </c>
      <c r="C206" t="s">
        <v>2298</v>
      </c>
      <c r="D206">
        <v>2019</v>
      </c>
      <c r="E206" s="128" t="s">
        <v>2297</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2294</v>
      </c>
      <c r="B207" t="s">
        <v>2362</v>
      </c>
      <c r="C207" t="s">
        <v>2296</v>
      </c>
      <c r="D207">
        <v>2015</v>
      </c>
      <c r="E207" s="128" t="s">
        <v>2297</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2294</v>
      </c>
      <c r="B208" t="s">
        <v>2362</v>
      </c>
      <c r="C208" t="s">
        <v>2296</v>
      </c>
      <c r="D208">
        <v>2016</v>
      </c>
      <c r="E208" s="128" t="s">
        <v>2297</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2294</v>
      </c>
      <c r="B209" t="s">
        <v>2362</v>
      </c>
      <c r="C209" t="s">
        <v>2296</v>
      </c>
      <c r="D209">
        <v>2017</v>
      </c>
      <c r="E209" s="128" t="s">
        <v>2297</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2294</v>
      </c>
      <c r="B210" t="s">
        <v>2362</v>
      </c>
      <c r="C210" t="s">
        <v>2298</v>
      </c>
      <c r="D210">
        <v>2018</v>
      </c>
      <c r="E210" s="128" t="s">
        <v>2297</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2294</v>
      </c>
      <c r="B211" t="s">
        <v>2362</v>
      </c>
      <c r="C211" t="s">
        <v>2298</v>
      </c>
      <c r="D211">
        <v>2019</v>
      </c>
      <c r="E211" s="128" t="s">
        <v>2297</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2294</v>
      </c>
      <c r="B212" t="s">
        <v>2363</v>
      </c>
      <c r="C212" t="s">
        <v>2298</v>
      </c>
      <c r="D212">
        <v>2018</v>
      </c>
      <c r="E212" s="128" t="s">
        <v>2297</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2294</v>
      </c>
      <c r="B213" t="s">
        <v>2363</v>
      </c>
      <c r="C213" t="s">
        <v>2298</v>
      </c>
      <c r="D213">
        <v>2019</v>
      </c>
      <c r="E213" s="128" t="s">
        <v>2297</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2320</v>
      </c>
      <c r="B214" t="s">
        <v>2364</v>
      </c>
      <c r="C214" t="s">
        <v>2296</v>
      </c>
      <c r="D214">
        <v>2015</v>
      </c>
      <c r="E214" s="128" t="s">
        <v>2297</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2320</v>
      </c>
      <c r="B215" t="s">
        <v>2364</v>
      </c>
      <c r="C215" t="s">
        <v>2296</v>
      </c>
      <c r="D215">
        <v>2016</v>
      </c>
      <c r="E215" s="128" t="s">
        <v>2297</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2320</v>
      </c>
      <c r="B216" t="s">
        <v>2364</v>
      </c>
      <c r="C216" t="s">
        <v>2296</v>
      </c>
      <c r="D216">
        <v>2017</v>
      </c>
      <c r="E216" s="128" t="s">
        <v>2297</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2320</v>
      </c>
      <c r="B217" t="s">
        <v>2364</v>
      </c>
      <c r="C217" t="s">
        <v>2298</v>
      </c>
      <c r="D217">
        <v>2018</v>
      </c>
      <c r="E217" s="128" t="s">
        <v>2297</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2320</v>
      </c>
      <c r="B218" t="s">
        <v>2364</v>
      </c>
      <c r="C218" t="s">
        <v>2298</v>
      </c>
      <c r="D218">
        <v>2019</v>
      </c>
      <c r="E218" s="128" t="s">
        <v>2297</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2317</v>
      </c>
      <c r="B219" t="s">
        <v>2317</v>
      </c>
      <c r="C219" t="s">
        <v>2296</v>
      </c>
      <c r="D219">
        <v>2015</v>
      </c>
      <c r="E219" s="128" t="s">
        <v>2297</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2317</v>
      </c>
      <c r="B220" t="s">
        <v>2317</v>
      </c>
      <c r="C220" t="s">
        <v>2296</v>
      </c>
      <c r="D220">
        <v>2016</v>
      </c>
      <c r="E220" s="128" t="s">
        <v>2297</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2317</v>
      </c>
      <c r="B221" t="s">
        <v>2317</v>
      </c>
      <c r="C221" t="s">
        <v>2296</v>
      </c>
      <c r="D221">
        <v>2017</v>
      </c>
      <c r="E221" s="128" t="s">
        <v>2297</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2317</v>
      </c>
      <c r="B222" t="s">
        <v>2317</v>
      </c>
      <c r="C222" t="s">
        <v>2298</v>
      </c>
      <c r="D222">
        <v>2018</v>
      </c>
      <c r="E222" s="128" t="s">
        <v>2297</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2317</v>
      </c>
      <c r="B223" t="s">
        <v>2317</v>
      </c>
      <c r="C223" t="s">
        <v>2298</v>
      </c>
      <c r="D223">
        <v>2019</v>
      </c>
      <c r="E223" s="128" t="s">
        <v>2297</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2317</v>
      </c>
      <c r="B224" t="s">
        <v>2365</v>
      </c>
      <c r="C224" t="s">
        <v>2296</v>
      </c>
      <c r="D224">
        <v>2015</v>
      </c>
      <c r="E224" s="128" t="s">
        <v>2297</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2317</v>
      </c>
      <c r="B225" t="s">
        <v>2365</v>
      </c>
      <c r="C225" t="s">
        <v>2296</v>
      </c>
      <c r="D225">
        <v>2016</v>
      </c>
      <c r="E225" s="128" t="s">
        <v>2297</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2317</v>
      </c>
      <c r="B226" t="s">
        <v>2365</v>
      </c>
      <c r="C226" t="s">
        <v>2296</v>
      </c>
      <c r="D226">
        <v>2017</v>
      </c>
      <c r="E226" s="128" t="s">
        <v>2297</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2317</v>
      </c>
      <c r="B227" t="s">
        <v>2365</v>
      </c>
      <c r="C227" t="s">
        <v>2298</v>
      </c>
      <c r="D227">
        <v>2018</v>
      </c>
      <c r="E227" s="128" t="s">
        <v>2297</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2317</v>
      </c>
      <c r="B228" t="s">
        <v>2365</v>
      </c>
      <c r="C228" t="s">
        <v>2298</v>
      </c>
      <c r="D228">
        <v>2019</v>
      </c>
      <c r="E228" s="128" t="s">
        <v>2297</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2308</v>
      </c>
      <c r="B229" t="s">
        <v>2366</v>
      </c>
      <c r="C229" t="s">
        <v>2296</v>
      </c>
      <c r="D229">
        <v>2015</v>
      </c>
      <c r="E229" s="128" t="s">
        <v>2297</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2308</v>
      </c>
      <c r="B230" t="s">
        <v>2366</v>
      </c>
      <c r="C230" t="s">
        <v>2296</v>
      </c>
      <c r="D230">
        <v>2016</v>
      </c>
      <c r="E230" s="128" t="s">
        <v>2297</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2308</v>
      </c>
      <c r="B231" t="s">
        <v>2366</v>
      </c>
      <c r="C231" t="s">
        <v>2296</v>
      </c>
      <c r="D231">
        <v>2017</v>
      </c>
      <c r="E231" s="128" t="s">
        <v>2297</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2308</v>
      </c>
      <c r="B232" t="s">
        <v>2366</v>
      </c>
      <c r="C232" t="s">
        <v>2298</v>
      </c>
      <c r="D232">
        <v>2018</v>
      </c>
      <c r="E232" s="128" t="s">
        <v>2297</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2308</v>
      </c>
      <c r="B233" t="s">
        <v>2366</v>
      </c>
      <c r="C233" t="s">
        <v>2298</v>
      </c>
      <c r="D233">
        <v>2019</v>
      </c>
      <c r="E233" s="128" t="s">
        <v>2297</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2317</v>
      </c>
      <c r="B234" t="s">
        <v>2367</v>
      </c>
      <c r="C234" t="s">
        <v>2296</v>
      </c>
      <c r="D234">
        <v>2015</v>
      </c>
      <c r="E234" s="128" t="s">
        <v>2297</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2317</v>
      </c>
      <c r="B235" t="s">
        <v>2367</v>
      </c>
      <c r="C235" t="s">
        <v>2296</v>
      </c>
      <c r="D235">
        <v>2016</v>
      </c>
      <c r="E235" s="128" t="s">
        <v>2297</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2317</v>
      </c>
      <c r="B236" t="s">
        <v>2367</v>
      </c>
      <c r="C236" t="s">
        <v>2296</v>
      </c>
      <c r="D236">
        <v>2017</v>
      </c>
      <c r="E236" s="128" t="s">
        <v>2297</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2317</v>
      </c>
      <c r="B237" t="s">
        <v>2367</v>
      </c>
      <c r="C237" t="s">
        <v>2298</v>
      </c>
      <c r="D237">
        <v>2018</v>
      </c>
      <c r="E237" s="128" t="s">
        <v>2297</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2317</v>
      </c>
      <c r="B238" t="s">
        <v>2367</v>
      </c>
      <c r="C238" t="s">
        <v>2298</v>
      </c>
      <c r="D238">
        <v>2019</v>
      </c>
      <c r="E238" s="128" t="s">
        <v>2297</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2294</v>
      </c>
      <c r="B239" t="s">
        <v>2368</v>
      </c>
      <c r="C239" t="s">
        <v>2296</v>
      </c>
      <c r="D239">
        <v>2015</v>
      </c>
      <c r="E239" s="128" t="s">
        <v>2297</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2294</v>
      </c>
      <c r="B240" t="s">
        <v>2368</v>
      </c>
      <c r="C240" t="s">
        <v>2296</v>
      </c>
      <c r="D240">
        <v>2016</v>
      </c>
      <c r="E240" s="128" t="s">
        <v>2297</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2294</v>
      </c>
      <c r="B241" t="s">
        <v>2368</v>
      </c>
      <c r="C241" t="s">
        <v>2296</v>
      </c>
      <c r="D241">
        <v>2017</v>
      </c>
      <c r="E241" s="128" t="s">
        <v>2297</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2294</v>
      </c>
      <c r="B242" t="s">
        <v>2368</v>
      </c>
      <c r="C242" t="s">
        <v>2298</v>
      </c>
      <c r="D242">
        <v>2018</v>
      </c>
      <c r="E242" s="128" t="s">
        <v>2297</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2294</v>
      </c>
      <c r="B243" t="s">
        <v>2368</v>
      </c>
      <c r="C243" t="s">
        <v>2298</v>
      </c>
      <c r="D243">
        <v>2019</v>
      </c>
      <c r="E243" s="128" t="s">
        <v>2297</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2308</v>
      </c>
      <c r="B244" t="s">
        <v>2369</v>
      </c>
      <c r="C244" t="s">
        <v>2296</v>
      </c>
      <c r="D244">
        <v>2015</v>
      </c>
      <c r="E244" s="128" t="s">
        <v>2297</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2308</v>
      </c>
      <c r="B245" t="s">
        <v>2369</v>
      </c>
      <c r="C245" t="s">
        <v>2296</v>
      </c>
      <c r="D245">
        <v>2016</v>
      </c>
      <c r="E245" s="128" t="s">
        <v>2297</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2308</v>
      </c>
      <c r="B246" t="s">
        <v>2369</v>
      </c>
      <c r="C246" t="s">
        <v>2296</v>
      </c>
      <c r="D246">
        <v>2017</v>
      </c>
      <c r="E246" s="128" t="s">
        <v>2297</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2308</v>
      </c>
      <c r="B247" t="s">
        <v>2369</v>
      </c>
      <c r="C247" t="s">
        <v>2298</v>
      </c>
      <c r="D247">
        <v>2018</v>
      </c>
      <c r="E247" s="128" t="s">
        <v>2297</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2308</v>
      </c>
      <c r="B248" t="s">
        <v>2369</v>
      </c>
      <c r="C248" t="s">
        <v>2298</v>
      </c>
      <c r="D248">
        <v>2019</v>
      </c>
      <c r="E248" s="128" t="s">
        <v>2297</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2317</v>
      </c>
      <c r="B249" t="s">
        <v>2370</v>
      </c>
      <c r="C249" t="s">
        <v>2296</v>
      </c>
      <c r="D249">
        <v>2015</v>
      </c>
      <c r="E249" s="128" t="s">
        <v>2297</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2317</v>
      </c>
      <c r="B250" t="s">
        <v>2370</v>
      </c>
      <c r="C250" t="s">
        <v>2296</v>
      </c>
      <c r="D250">
        <v>2016</v>
      </c>
      <c r="E250" s="128" t="s">
        <v>2297</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2317</v>
      </c>
      <c r="B251" t="s">
        <v>2370</v>
      </c>
      <c r="C251" t="s">
        <v>2296</v>
      </c>
      <c r="D251">
        <v>2017</v>
      </c>
      <c r="E251" s="128" t="s">
        <v>2297</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2317</v>
      </c>
      <c r="B252" t="s">
        <v>2370</v>
      </c>
      <c r="C252" t="s">
        <v>2298</v>
      </c>
      <c r="D252">
        <v>2018</v>
      </c>
      <c r="E252" s="128" t="s">
        <v>2297</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2317</v>
      </c>
      <c r="B253" s="130" t="s">
        <v>2370</v>
      </c>
      <c r="C253" s="130" t="s">
        <v>2298</v>
      </c>
      <c r="D253" s="130">
        <v>2019</v>
      </c>
      <c r="E253" s="131" t="s">
        <v>2297</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2513</v>
      </c>
    </row>
    <row r="2" spans="1:4" x14ac:dyDescent="0.3">
      <c r="A2" t="s">
        <v>2371</v>
      </c>
    </row>
    <row r="3" spans="1:4" x14ac:dyDescent="0.3">
      <c r="A3" t="s">
        <v>4608</v>
      </c>
    </row>
    <row r="4" spans="1:4" x14ac:dyDescent="0.3">
      <c r="A4" t="s">
        <v>2372</v>
      </c>
    </row>
    <row r="5" spans="1:4" x14ac:dyDescent="0.3">
      <c r="A5" t="s">
        <v>2373</v>
      </c>
      <c r="B5" t="s">
        <v>2374</v>
      </c>
      <c r="C5" t="s">
        <v>2375</v>
      </c>
      <c r="D5" t="s">
        <v>174</v>
      </c>
    </row>
    <row r="6" spans="1:4" x14ac:dyDescent="0.3">
      <c r="A6" t="s">
        <v>2376</v>
      </c>
      <c r="B6">
        <v>625</v>
      </c>
      <c r="C6" s="2">
        <v>2465</v>
      </c>
      <c r="D6" s="2">
        <v>3090</v>
      </c>
    </row>
    <row r="7" spans="1:4" x14ac:dyDescent="0.3">
      <c r="A7" t="s">
        <v>2377</v>
      </c>
      <c r="B7">
        <v>670</v>
      </c>
      <c r="C7" s="2">
        <v>1840</v>
      </c>
      <c r="D7" s="2">
        <v>2510</v>
      </c>
    </row>
    <row r="8" spans="1:4" x14ac:dyDescent="0.3">
      <c r="A8" t="s">
        <v>2378</v>
      </c>
      <c r="B8" s="2">
        <v>1310</v>
      </c>
      <c r="C8" s="2">
        <v>2190</v>
      </c>
      <c r="D8" s="2">
        <v>3500</v>
      </c>
    </row>
    <row r="9" spans="1:4" x14ac:dyDescent="0.3">
      <c r="A9" t="s">
        <v>2379</v>
      </c>
      <c r="B9" s="2">
        <v>1015</v>
      </c>
      <c r="C9">
        <v>900</v>
      </c>
      <c r="D9" s="2">
        <v>1915</v>
      </c>
    </row>
    <row r="10" spans="1:4" x14ac:dyDescent="0.3">
      <c r="A10" t="s">
        <v>2380</v>
      </c>
      <c r="B10" s="2">
        <v>5130</v>
      </c>
      <c r="C10" s="2">
        <v>1890</v>
      </c>
      <c r="D10" s="2">
        <v>7020</v>
      </c>
    </row>
    <row r="11" spans="1:4" x14ac:dyDescent="0.3">
      <c r="A11" t="s">
        <v>174</v>
      </c>
      <c r="B11" s="2">
        <v>8750</v>
      </c>
      <c r="C11" s="2">
        <v>9285</v>
      </c>
      <c r="D11" s="2">
        <v>18035</v>
      </c>
    </row>
    <row r="13" spans="1:4" x14ac:dyDescent="0.3">
      <c r="A13" t="s">
        <v>2381</v>
      </c>
      <c r="B13" t="s">
        <v>2374</v>
      </c>
      <c r="C13" t="s">
        <v>2375</v>
      </c>
      <c r="D13" t="s">
        <v>174</v>
      </c>
    </row>
    <row r="14" spans="1:4" x14ac:dyDescent="0.3">
      <c r="A14" t="s">
        <v>2382</v>
      </c>
      <c r="B14" s="2">
        <v>2560</v>
      </c>
      <c r="C14" s="2">
        <v>6135</v>
      </c>
      <c r="D14" s="2">
        <v>8695</v>
      </c>
    </row>
    <row r="15" spans="1:4" x14ac:dyDescent="0.3">
      <c r="A15" t="s">
        <v>2383</v>
      </c>
      <c r="B15" s="2">
        <v>6190</v>
      </c>
      <c r="C15" s="2">
        <v>3150</v>
      </c>
      <c r="D15" s="2">
        <v>9340</v>
      </c>
    </row>
    <row r="16" spans="1:4" x14ac:dyDescent="0.3">
      <c r="A16" t="s">
        <v>174</v>
      </c>
      <c r="B16" s="2">
        <v>8750</v>
      </c>
      <c r="C16" s="2">
        <v>9285</v>
      </c>
      <c r="D16" s="2">
        <v>18035</v>
      </c>
    </row>
    <row r="18" spans="1:4" x14ac:dyDescent="0.3">
      <c r="A18" t="s">
        <v>2384</v>
      </c>
      <c r="B18" t="s">
        <v>2374</v>
      </c>
      <c r="C18" t="s">
        <v>2375</v>
      </c>
      <c r="D18" t="s">
        <v>174</v>
      </c>
    </row>
    <row r="19" spans="1:4" x14ac:dyDescent="0.3">
      <c r="A19" t="s">
        <v>2385</v>
      </c>
      <c r="B19" s="2">
        <v>1420</v>
      </c>
      <c r="C19" s="2">
        <v>4140</v>
      </c>
      <c r="D19" s="2">
        <v>5560</v>
      </c>
    </row>
    <row r="20" spans="1:4" x14ac:dyDescent="0.3">
      <c r="A20" t="s">
        <v>2386</v>
      </c>
      <c r="B20" s="2">
        <v>7330</v>
      </c>
      <c r="C20" s="2">
        <v>5145</v>
      </c>
      <c r="D20" s="2">
        <v>12475</v>
      </c>
    </row>
    <row r="21" spans="1:4" x14ac:dyDescent="0.3">
      <c r="A21" t="s">
        <v>174</v>
      </c>
      <c r="B21" s="2">
        <v>8750</v>
      </c>
      <c r="C21" s="2">
        <v>9285</v>
      </c>
      <c r="D21" s="2">
        <v>18035</v>
      </c>
    </row>
    <row r="23" spans="1:4" x14ac:dyDescent="0.3">
      <c r="A23" t="s">
        <v>2387</v>
      </c>
      <c r="B23" t="s">
        <v>2374</v>
      </c>
      <c r="C23" t="s">
        <v>2375</v>
      </c>
      <c r="D23" t="s">
        <v>174</v>
      </c>
    </row>
    <row r="24" spans="1:4" x14ac:dyDescent="0.3">
      <c r="A24" t="s">
        <v>2388</v>
      </c>
      <c r="B24" s="2">
        <v>6535</v>
      </c>
      <c r="C24" s="2">
        <v>3835</v>
      </c>
      <c r="D24" s="2">
        <v>10370</v>
      </c>
    </row>
    <row r="25" spans="1:4" x14ac:dyDescent="0.3">
      <c r="A25" t="s">
        <v>1343</v>
      </c>
      <c r="B25" s="2">
        <v>1190</v>
      </c>
      <c r="C25" s="2">
        <v>2710</v>
      </c>
      <c r="D25" s="2">
        <v>3900</v>
      </c>
    </row>
    <row r="26" spans="1:4" x14ac:dyDescent="0.3">
      <c r="A26" t="s">
        <v>1344</v>
      </c>
      <c r="B26">
        <v>965</v>
      </c>
      <c r="C26" s="2">
        <v>2510</v>
      </c>
      <c r="D26" s="2">
        <v>3475</v>
      </c>
    </row>
    <row r="27" spans="1:4" x14ac:dyDescent="0.3">
      <c r="A27" t="s">
        <v>2389</v>
      </c>
      <c r="B27">
        <v>70</v>
      </c>
      <c r="C27">
        <v>230</v>
      </c>
      <c r="D27">
        <v>300</v>
      </c>
    </row>
    <row r="28" spans="1:4" x14ac:dyDescent="0.3">
      <c r="A28" t="s">
        <v>174</v>
      </c>
      <c r="B28" s="2">
        <v>8750</v>
      </c>
      <c r="C28" s="2">
        <v>9285</v>
      </c>
      <c r="D28" s="2">
        <v>18035</v>
      </c>
    </row>
    <row r="30" spans="1:4" x14ac:dyDescent="0.3">
      <c r="A30" t="s">
        <v>2390</v>
      </c>
      <c r="B30" t="s">
        <v>2382</v>
      </c>
      <c r="C30" t="s">
        <v>2383</v>
      </c>
      <c r="D30" t="s">
        <v>174</v>
      </c>
    </row>
    <row r="31" spans="1:4" x14ac:dyDescent="0.3">
      <c r="A31" t="s">
        <v>2376</v>
      </c>
      <c r="B31" s="2">
        <v>2525</v>
      </c>
      <c r="C31">
        <v>570</v>
      </c>
      <c r="D31" s="2">
        <v>3090</v>
      </c>
    </row>
    <row r="32" spans="1:4" x14ac:dyDescent="0.3">
      <c r="A32" t="s">
        <v>2377</v>
      </c>
      <c r="B32" s="2">
        <v>2105</v>
      </c>
      <c r="C32">
        <v>400</v>
      </c>
      <c r="D32" s="2">
        <v>2510</v>
      </c>
    </row>
    <row r="33" spans="1:4" x14ac:dyDescent="0.3">
      <c r="A33" t="s">
        <v>2378</v>
      </c>
      <c r="B33" s="2">
        <v>2070</v>
      </c>
      <c r="C33" s="2">
        <v>1430</v>
      </c>
      <c r="D33" s="2">
        <v>3500</v>
      </c>
    </row>
    <row r="34" spans="1:4" x14ac:dyDescent="0.3">
      <c r="A34" t="s">
        <v>2379</v>
      </c>
      <c r="B34">
        <v>965</v>
      </c>
      <c r="C34">
        <v>950</v>
      </c>
      <c r="D34" s="2">
        <v>1915</v>
      </c>
    </row>
    <row r="35" spans="1:4" x14ac:dyDescent="0.3">
      <c r="A35" t="s">
        <v>2380</v>
      </c>
      <c r="B35" s="2">
        <v>1025</v>
      </c>
      <c r="C35" s="2">
        <v>5990</v>
      </c>
      <c r="D35" s="2">
        <v>7020</v>
      </c>
    </row>
    <row r="36" spans="1:4" x14ac:dyDescent="0.3">
      <c r="A36" t="s">
        <v>174</v>
      </c>
      <c r="B36" s="2">
        <v>8695</v>
      </c>
      <c r="C36" s="2">
        <v>9340</v>
      </c>
      <c r="D36" s="2">
        <v>18035</v>
      </c>
    </row>
    <row r="38" spans="1:4" x14ac:dyDescent="0.3">
      <c r="A38" t="s">
        <v>2391</v>
      </c>
      <c r="B38" t="s">
        <v>2382</v>
      </c>
      <c r="C38" t="s">
        <v>2383</v>
      </c>
      <c r="D38" t="s">
        <v>174</v>
      </c>
    </row>
    <row r="39" spans="1:4" x14ac:dyDescent="0.3">
      <c r="A39" t="s">
        <v>2376</v>
      </c>
      <c r="B39" s="2">
        <v>1975</v>
      </c>
      <c r="C39">
        <v>490</v>
      </c>
      <c r="D39" s="2">
        <v>2465</v>
      </c>
    </row>
    <row r="40" spans="1:4" x14ac:dyDescent="0.3">
      <c r="A40" t="s">
        <v>2377</v>
      </c>
      <c r="B40" s="2">
        <v>1625</v>
      </c>
      <c r="C40">
        <v>215</v>
      </c>
      <c r="D40" s="2">
        <v>1840</v>
      </c>
    </row>
    <row r="41" spans="1:4" x14ac:dyDescent="0.3">
      <c r="A41" t="s">
        <v>2378</v>
      </c>
      <c r="B41" s="2">
        <v>1640</v>
      </c>
      <c r="C41">
        <v>550</v>
      </c>
      <c r="D41" s="2">
        <v>2190</v>
      </c>
    </row>
    <row r="42" spans="1:4" x14ac:dyDescent="0.3">
      <c r="A42" t="s">
        <v>2379</v>
      </c>
      <c r="B42">
        <v>380</v>
      </c>
      <c r="C42">
        <v>520</v>
      </c>
      <c r="D42">
        <v>900</v>
      </c>
    </row>
    <row r="43" spans="1:4" x14ac:dyDescent="0.3">
      <c r="A43" t="s">
        <v>2380</v>
      </c>
      <c r="B43">
        <v>510</v>
      </c>
      <c r="C43" s="2">
        <v>1375</v>
      </c>
      <c r="D43" s="2">
        <v>1890</v>
      </c>
    </row>
    <row r="44" spans="1:4" x14ac:dyDescent="0.3">
      <c r="A44" t="s">
        <v>174</v>
      </c>
      <c r="B44" s="2">
        <v>6135</v>
      </c>
      <c r="C44" s="2">
        <v>3150</v>
      </c>
      <c r="D44" s="2">
        <v>9285</v>
      </c>
    </row>
    <row r="46" spans="1:4" x14ac:dyDescent="0.3">
      <c r="A46" t="s">
        <v>2392</v>
      </c>
      <c r="B46" t="s">
        <v>2382</v>
      </c>
      <c r="C46" t="s">
        <v>2383</v>
      </c>
      <c r="D46" t="s">
        <v>2393</v>
      </c>
    </row>
    <row r="47" spans="1:4" x14ac:dyDescent="0.3">
      <c r="A47" t="s">
        <v>2376</v>
      </c>
      <c r="B47">
        <v>550</v>
      </c>
      <c r="C47">
        <v>80</v>
      </c>
      <c r="D47">
        <v>625</v>
      </c>
    </row>
    <row r="48" spans="1:4" x14ac:dyDescent="0.3">
      <c r="A48" t="s">
        <v>2377</v>
      </c>
      <c r="B48">
        <v>480</v>
      </c>
      <c r="C48">
        <v>185</v>
      </c>
      <c r="D48">
        <v>670</v>
      </c>
    </row>
    <row r="49" spans="1:4" x14ac:dyDescent="0.3">
      <c r="A49" t="s">
        <v>2378</v>
      </c>
      <c r="B49">
        <v>430</v>
      </c>
      <c r="C49">
        <v>880</v>
      </c>
      <c r="D49" s="2">
        <v>1310</v>
      </c>
    </row>
    <row r="50" spans="1:4" x14ac:dyDescent="0.3">
      <c r="A50" t="s">
        <v>2379</v>
      </c>
      <c r="B50">
        <v>585</v>
      </c>
      <c r="C50">
        <v>430</v>
      </c>
      <c r="D50" s="2">
        <v>1015</v>
      </c>
    </row>
    <row r="51" spans="1:4" x14ac:dyDescent="0.3">
      <c r="A51" t="s">
        <v>2380</v>
      </c>
      <c r="B51">
        <v>515</v>
      </c>
      <c r="C51" s="2">
        <v>4615</v>
      </c>
      <c r="D51" s="2">
        <v>5130</v>
      </c>
    </row>
    <row r="52" spans="1:4" x14ac:dyDescent="0.3">
      <c r="A52" t="s">
        <v>174</v>
      </c>
      <c r="B52" s="2">
        <v>2560</v>
      </c>
      <c r="C52" s="2">
        <v>6190</v>
      </c>
      <c r="D52" s="2">
        <v>8750</v>
      </c>
    </row>
    <row r="54" spans="1:4" x14ac:dyDescent="0.3">
      <c r="A54" t="s">
        <v>2394</v>
      </c>
      <c r="B54" t="s">
        <v>2395</v>
      </c>
      <c r="C54" t="s">
        <v>2396</v>
      </c>
      <c r="D54" t="s">
        <v>174</v>
      </c>
    </row>
    <row r="55" spans="1:4" x14ac:dyDescent="0.3">
      <c r="A55" t="s">
        <v>2376</v>
      </c>
      <c r="B55" s="2">
        <v>2480</v>
      </c>
      <c r="C55" s="2">
        <v>2040</v>
      </c>
      <c r="D55" s="2">
        <v>3090</v>
      </c>
    </row>
    <row r="56" spans="1:4" x14ac:dyDescent="0.3">
      <c r="A56" t="s">
        <v>2377</v>
      </c>
      <c r="B56" s="2">
        <v>2030</v>
      </c>
      <c r="C56" s="2">
        <v>1005</v>
      </c>
      <c r="D56" s="2">
        <v>2510</v>
      </c>
    </row>
    <row r="57" spans="1:4" x14ac:dyDescent="0.3">
      <c r="A57" t="s">
        <v>2378</v>
      </c>
      <c r="B57" s="2">
        <v>1670</v>
      </c>
      <c r="C57">
        <v>215</v>
      </c>
      <c r="D57" s="2">
        <v>3500</v>
      </c>
    </row>
    <row r="58" spans="1:4" x14ac:dyDescent="0.3">
      <c r="A58" t="s">
        <v>2379</v>
      </c>
      <c r="B58">
        <v>705</v>
      </c>
      <c r="C58">
        <v>155</v>
      </c>
      <c r="D58" s="2">
        <v>1915</v>
      </c>
    </row>
    <row r="59" spans="1:4" x14ac:dyDescent="0.3">
      <c r="A59" t="s">
        <v>2380</v>
      </c>
      <c r="B59">
        <v>490</v>
      </c>
      <c r="C59">
        <v>60</v>
      </c>
      <c r="D59" s="2">
        <v>7020</v>
      </c>
    </row>
    <row r="60" spans="1:4" x14ac:dyDescent="0.3">
      <c r="A60" t="s">
        <v>174</v>
      </c>
      <c r="B60" s="2">
        <v>7375</v>
      </c>
      <c r="C60" s="2">
        <v>3475</v>
      </c>
      <c r="D60" s="2">
        <v>18035</v>
      </c>
    </row>
    <row r="62" spans="1:4" x14ac:dyDescent="0.3">
      <c r="A62" t="s">
        <v>2397</v>
      </c>
      <c r="B62" t="s">
        <v>2395</v>
      </c>
      <c r="C62" t="s">
        <v>2396</v>
      </c>
      <c r="D62" t="s">
        <v>174</v>
      </c>
    </row>
    <row r="63" spans="1:4" x14ac:dyDescent="0.3">
      <c r="A63" t="s">
        <v>2376</v>
      </c>
      <c r="B63" s="2">
        <v>1930</v>
      </c>
      <c r="C63" s="2">
        <v>1615</v>
      </c>
      <c r="D63" s="2">
        <v>2465</v>
      </c>
    </row>
    <row r="64" spans="1:4" x14ac:dyDescent="0.3">
      <c r="A64" t="s">
        <v>2377</v>
      </c>
      <c r="B64" s="2">
        <v>1590</v>
      </c>
      <c r="C64">
        <v>780</v>
      </c>
      <c r="D64" s="2">
        <v>1840</v>
      </c>
    </row>
    <row r="65" spans="1:4" x14ac:dyDescent="0.3">
      <c r="A65" t="s">
        <v>2378</v>
      </c>
      <c r="B65" s="2">
        <v>1265</v>
      </c>
      <c r="C65">
        <v>115</v>
      </c>
      <c r="D65" s="2">
        <v>2190</v>
      </c>
    </row>
    <row r="66" spans="1:4" x14ac:dyDescent="0.3">
      <c r="A66" t="s">
        <v>2379</v>
      </c>
      <c r="B66">
        <v>250</v>
      </c>
      <c r="C66">
        <v>0</v>
      </c>
      <c r="D66">
        <v>900</v>
      </c>
    </row>
    <row r="67" spans="1:4" x14ac:dyDescent="0.3">
      <c r="A67" t="s">
        <v>2380</v>
      </c>
      <c r="B67">
        <v>185</v>
      </c>
      <c r="C67">
        <v>0</v>
      </c>
      <c r="D67" s="2">
        <v>1890</v>
      </c>
    </row>
    <row r="68" spans="1:4" x14ac:dyDescent="0.3">
      <c r="A68" t="s">
        <v>174</v>
      </c>
      <c r="B68" s="2">
        <v>5220</v>
      </c>
      <c r="C68" s="2">
        <v>2510</v>
      </c>
      <c r="D68" s="2">
        <v>9285</v>
      </c>
    </row>
    <row r="70" spans="1:4" x14ac:dyDescent="0.3">
      <c r="A70" t="s">
        <v>2398</v>
      </c>
      <c r="B70" t="s">
        <v>2395</v>
      </c>
      <c r="C70" t="s">
        <v>2396</v>
      </c>
      <c r="D70" t="s">
        <v>174</v>
      </c>
    </row>
    <row r="71" spans="1:4" x14ac:dyDescent="0.3">
      <c r="A71" t="s">
        <v>2376</v>
      </c>
      <c r="B71">
        <v>550</v>
      </c>
      <c r="C71">
        <v>425</v>
      </c>
      <c r="D71">
        <v>625</v>
      </c>
    </row>
    <row r="72" spans="1:4" x14ac:dyDescent="0.3">
      <c r="A72" t="s">
        <v>2377</v>
      </c>
      <c r="B72">
        <v>440</v>
      </c>
      <c r="C72">
        <v>225</v>
      </c>
      <c r="D72">
        <v>670</v>
      </c>
    </row>
    <row r="73" spans="1:4" x14ac:dyDescent="0.3">
      <c r="A73" t="s">
        <v>2378</v>
      </c>
      <c r="B73">
        <v>405</v>
      </c>
      <c r="C73">
        <v>100</v>
      </c>
      <c r="D73" s="2">
        <v>1310</v>
      </c>
    </row>
    <row r="74" spans="1:4" x14ac:dyDescent="0.3">
      <c r="A74" t="s">
        <v>2379</v>
      </c>
      <c r="B74">
        <v>455</v>
      </c>
      <c r="C74">
        <v>155</v>
      </c>
      <c r="D74" s="2">
        <v>1015</v>
      </c>
    </row>
    <row r="75" spans="1:4" x14ac:dyDescent="0.3">
      <c r="A75" t="s">
        <v>2380</v>
      </c>
      <c r="B75">
        <v>305</v>
      </c>
      <c r="C75">
        <v>60</v>
      </c>
      <c r="D75" s="2">
        <v>5130</v>
      </c>
    </row>
    <row r="76" spans="1:4" x14ac:dyDescent="0.3">
      <c r="A76" t="s">
        <v>174</v>
      </c>
      <c r="B76" s="2">
        <v>2155</v>
      </c>
      <c r="C76">
        <v>965</v>
      </c>
      <c r="D76" s="2">
        <v>8750</v>
      </c>
    </row>
    <row r="78" spans="1:4" x14ac:dyDescent="0.3">
      <c r="A78" t="s">
        <v>2399</v>
      </c>
    </row>
    <row r="80" spans="1:4" x14ac:dyDescent="0.3">
      <c r="A80" t="s">
        <v>2400</v>
      </c>
    </row>
    <row r="82" spans="1:1" x14ac:dyDescent="0.3">
      <c r="A82" t="s">
        <v>2401</v>
      </c>
    </row>
    <row r="83" spans="1:1" x14ac:dyDescent="0.3">
      <c r="A83" t="s">
        <v>2402</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2403</v>
      </c>
    </row>
    <row r="2" spans="1:8" x14ac:dyDescent="0.3">
      <c r="A2" t="s">
        <v>2404</v>
      </c>
      <c r="B2" t="s">
        <v>2405</v>
      </c>
      <c r="C2" t="s">
        <v>2406</v>
      </c>
      <c r="D2" t="s">
        <v>2407</v>
      </c>
      <c r="E2" t="s">
        <v>2408</v>
      </c>
      <c r="F2" t="s">
        <v>2409</v>
      </c>
      <c r="G2" t="s">
        <v>2410</v>
      </c>
      <c r="H2" t="s">
        <v>2411</v>
      </c>
    </row>
    <row r="3" spans="1:8" x14ac:dyDescent="0.3">
      <c r="A3" t="s">
        <v>2412</v>
      </c>
      <c r="B3">
        <v>6</v>
      </c>
      <c r="C3" t="s">
        <v>2310</v>
      </c>
      <c r="D3">
        <v>39</v>
      </c>
      <c r="E3" t="s">
        <v>2413</v>
      </c>
      <c r="F3" t="s">
        <v>2414</v>
      </c>
      <c r="H3">
        <v>720</v>
      </c>
    </row>
    <row r="4" spans="1:8" x14ac:dyDescent="0.3">
      <c r="A4" t="s">
        <v>2412</v>
      </c>
      <c r="B4">
        <v>6</v>
      </c>
      <c r="C4" t="s">
        <v>2310</v>
      </c>
      <c r="D4">
        <v>39</v>
      </c>
      <c r="E4" t="s">
        <v>2413</v>
      </c>
      <c r="F4" t="s">
        <v>2414</v>
      </c>
      <c r="G4" t="s">
        <v>2415</v>
      </c>
      <c r="H4">
        <v>151</v>
      </c>
    </row>
    <row r="5" spans="1:8" x14ac:dyDescent="0.3">
      <c r="A5" t="s">
        <v>2412</v>
      </c>
      <c r="B5">
        <v>6</v>
      </c>
      <c r="C5" t="s">
        <v>2310</v>
      </c>
      <c r="D5">
        <v>39</v>
      </c>
      <c r="E5" t="s">
        <v>2413</v>
      </c>
      <c r="F5" t="s">
        <v>2414</v>
      </c>
      <c r="G5" t="s">
        <v>2416</v>
      </c>
      <c r="H5">
        <v>129</v>
      </c>
    </row>
    <row r="6" spans="1:8" x14ac:dyDescent="0.3">
      <c r="A6" t="s">
        <v>2412</v>
      </c>
      <c r="B6">
        <v>6</v>
      </c>
      <c r="C6" t="s">
        <v>2310</v>
      </c>
      <c r="D6">
        <v>39</v>
      </c>
      <c r="E6" t="s">
        <v>2413</v>
      </c>
      <c r="F6" t="s">
        <v>2414</v>
      </c>
      <c r="G6" t="s">
        <v>2417</v>
      </c>
      <c r="H6">
        <v>151</v>
      </c>
    </row>
    <row r="7" spans="1:8" x14ac:dyDescent="0.3">
      <c r="A7" t="s">
        <v>2412</v>
      </c>
      <c r="B7">
        <v>6</v>
      </c>
      <c r="C7" t="s">
        <v>2310</v>
      </c>
      <c r="D7">
        <v>39</v>
      </c>
      <c r="E7" t="s">
        <v>2413</v>
      </c>
      <c r="F7" t="s">
        <v>2414</v>
      </c>
      <c r="G7" t="s">
        <v>2418</v>
      </c>
      <c r="H7">
        <v>132</v>
      </c>
    </row>
    <row r="8" spans="1:8" x14ac:dyDescent="0.3">
      <c r="A8" t="s">
        <v>2412</v>
      </c>
      <c r="B8">
        <v>6</v>
      </c>
      <c r="C8" t="s">
        <v>2310</v>
      </c>
      <c r="D8">
        <v>39</v>
      </c>
      <c r="E8" t="s">
        <v>2413</v>
      </c>
      <c r="F8" t="s">
        <v>2414</v>
      </c>
      <c r="G8" t="s">
        <v>2419</v>
      </c>
      <c r="H8">
        <v>157</v>
      </c>
    </row>
    <row r="9" spans="1:8" x14ac:dyDescent="0.3">
      <c r="A9" t="s">
        <v>2412</v>
      </c>
      <c r="B9">
        <v>6</v>
      </c>
      <c r="C9" t="s">
        <v>2310</v>
      </c>
      <c r="D9">
        <v>39</v>
      </c>
      <c r="E9" t="s">
        <v>2413</v>
      </c>
      <c r="F9" t="s">
        <v>2414</v>
      </c>
      <c r="G9" t="s">
        <v>2420</v>
      </c>
      <c r="H9">
        <v>246</v>
      </c>
    </row>
    <row r="10" spans="1:8" x14ac:dyDescent="0.3">
      <c r="A10" t="s">
        <v>2412</v>
      </c>
      <c r="B10">
        <v>6</v>
      </c>
      <c r="C10" t="s">
        <v>2310</v>
      </c>
      <c r="D10">
        <v>39</v>
      </c>
      <c r="E10" t="s">
        <v>2413</v>
      </c>
      <c r="F10" t="s">
        <v>2421</v>
      </c>
      <c r="H10" s="2">
        <v>15654</v>
      </c>
    </row>
    <row r="11" spans="1:8" x14ac:dyDescent="0.3">
      <c r="A11" t="s">
        <v>2412</v>
      </c>
      <c r="B11">
        <v>6</v>
      </c>
      <c r="C11" t="s">
        <v>2310</v>
      </c>
      <c r="D11">
        <v>39</v>
      </c>
      <c r="E11" t="s">
        <v>2413</v>
      </c>
      <c r="F11" t="s">
        <v>2421</v>
      </c>
      <c r="G11" t="s">
        <v>2415</v>
      </c>
      <c r="H11">
        <v>151</v>
      </c>
    </row>
    <row r="12" spans="1:8" x14ac:dyDescent="0.3">
      <c r="A12" t="s">
        <v>2412</v>
      </c>
      <c r="B12">
        <v>6</v>
      </c>
      <c r="C12" t="s">
        <v>2310</v>
      </c>
      <c r="D12">
        <v>39</v>
      </c>
      <c r="E12" t="s">
        <v>2413</v>
      </c>
      <c r="F12" t="s">
        <v>2421</v>
      </c>
      <c r="G12" t="s">
        <v>2416</v>
      </c>
      <c r="H12">
        <v>258</v>
      </c>
    </row>
    <row r="13" spans="1:8" x14ac:dyDescent="0.3">
      <c r="A13" t="s">
        <v>2412</v>
      </c>
      <c r="B13">
        <v>6</v>
      </c>
      <c r="C13" t="s">
        <v>2310</v>
      </c>
      <c r="D13">
        <v>39</v>
      </c>
      <c r="E13" t="s">
        <v>2413</v>
      </c>
      <c r="F13" t="s">
        <v>2421</v>
      </c>
      <c r="G13" t="s">
        <v>2417</v>
      </c>
      <c r="H13">
        <v>529</v>
      </c>
    </row>
    <row r="14" spans="1:8" x14ac:dyDescent="0.3">
      <c r="A14" t="s">
        <v>2412</v>
      </c>
      <c r="B14">
        <v>6</v>
      </c>
      <c r="C14" t="s">
        <v>2310</v>
      </c>
      <c r="D14">
        <v>39</v>
      </c>
      <c r="E14" t="s">
        <v>2413</v>
      </c>
      <c r="F14" t="s">
        <v>2421</v>
      </c>
      <c r="G14" t="s">
        <v>2418</v>
      </c>
      <c r="H14">
        <v>847</v>
      </c>
    </row>
    <row r="15" spans="1:8" x14ac:dyDescent="0.3">
      <c r="A15" t="s">
        <v>2412</v>
      </c>
      <c r="B15">
        <v>6</v>
      </c>
      <c r="C15" t="s">
        <v>2310</v>
      </c>
      <c r="D15">
        <v>39</v>
      </c>
      <c r="E15" t="s">
        <v>2413</v>
      </c>
      <c r="F15" t="s">
        <v>2421</v>
      </c>
      <c r="G15" t="s">
        <v>2419</v>
      </c>
      <c r="H15" s="2">
        <v>13869</v>
      </c>
    </row>
    <row r="16" spans="1:8" x14ac:dyDescent="0.3">
      <c r="A16" t="s">
        <v>2412</v>
      </c>
      <c r="B16">
        <v>6</v>
      </c>
      <c r="C16" t="s">
        <v>2310</v>
      </c>
      <c r="D16">
        <v>39</v>
      </c>
      <c r="E16" t="s">
        <v>2413</v>
      </c>
      <c r="F16" t="s">
        <v>2422</v>
      </c>
      <c r="H16" s="2">
        <v>226179000</v>
      </c>
    </row>
    <row r="17" spans="1:8" x14ac:dyDescent="0.3">
      <c r="A17" t="s">
        <v>2412</v>
      </c>
      <c r="B17">
        <v>6</v>
      </c>
      <c r="C17" t="s">
        <v>2310</v>
      </c>
      <c r="D17">
        <v>39</v>
      </c>
      <c r="E17" t="s">
        <v>2413</v>
      </c>
      <c r="F17" t="s">
        <v>2422</v>
      </c>
      <c r="G17" t="s">
        <v>2420</v>
      </c>
      <c r="H17" s="2">
        <v>164801000</v>
      </c>
    </row>
    <row r="18" spans="1:8" x14ac:dyDescent="0.3">
      <c r="A18" t="s">
        <v>2412</v>
      </c>
      <c r="B18">
        <v>6</v>
      </c>
      <c r="C18" t="s">
        <v>2310</v>
      </c>
      <c r="D18">
        <v>39</v>
      </c>
      <c r="E18" t="s">
        <v>2413</v>
      </c>
      <c r="F18" t="s">
        <v>2423</v>
      </c>
      <c r="H18">
        <v>515</v>
      </c>
    </row>
    <row r="19" spans="1:8" x14ac:dyDescent="0.3">
      <c r="A19" t="s">
        <v>2412</v>
      </c>
      <c r="B19">
        <v>6</v>
      </c>
      <c r="C19" t="s">
        <v>2310</v>
      </c>
      <c r="D19">
        <v>39</v>
      </c>
      <c r="E19" t="s">
        <v>2413</v>
      </c>
      <c r="F19" t="s">
        <v>2423</v>
      </c>
      <c r="G19" t="s">
        <v>2415</v>
      </c>
      <c r="H19">
        <v>155</v>
      </c>
    </row>
    <row r="20" spans="1:8" x14ac:dyDescent="0.3">
      <c r="A20" t="s">
        <v>2412</v>
      </c>
      <c r="B20">
        <v>6</v>
      </c>
      <c r="C20" t="s">
        <v>2310</v>
      </c>
      <c r="D20">
        <v>39</v>
      </c>
      <c r="E20" t="s">
        <v>2413</v>
      </c>
      <c r="F20" t="s">
        <v>2423</v>
      </c>
      <c r="G20" t="s">
        <v>2416</v>
      </c>
      <c r="H20">
        <v>91</v>
      </c>
    </row>
    <row r="21" spans="1:8" x14ac:dyDescent="0.3">
      <c r="A21" t="s">
        <v>2412</v>
      </c>
      <c r="B21">
        <v>6</v>
      </c>
      <c r="C21" t="s">
        <v>2310</v>
      </c>
      <c r="D21">
        <v>39</v>
      </c>
      <c r="E21" t="s">
        <v>2413</v>
      </c>
      <c r="F21" t="s">
        <v>2423</v>
      </c>
      <c r="G21" t="s">
        <v>2417</v>
      </c>
      <c r="H21">
        <v>130</v>
      </c>
    </row>
    <row r="22" spans="1:8" x14ac:dyDescent="0.3">
      <c r="A22" t="s">
        <v>2412</v>
      </c>
      <c r="B22">
        <v>6</v>
      </c>
      <c r="C22" t="s">
        <v>2310</v>
      </c>
      <c r="D22">
        <v>39</v>
      </c>
      <c r="E22" t="s">
        <v>2413</v>
      </c>
      <c r="F22" t="s">
        <v>2423</v>
      </c>
      <c r="G22" t="s">
        <v>2418</v>
      </c>
      <c r="H22">
        <v>63</v>
      </c>
    </row>
    <row r="23" spans="1:8" x14ac:dyDescent="0.3">
      <c r="A23" t="s">
        <v>2412</v>
      </c>
      <c r="B23">
        <v>6</v>
      </c>
      <c r="C23" t="s">
        <v>2310</v>
      </c>
      <c r="D23">
        <v>39</v>
      </c>
      <c r="E23" t="s">
        <v>2413</v>
      </c>
      <c r="F23" t="s">
        <v>2423</v>
      </c>
      <c r="G23" t="s">
        <v>2419</v>
      </c>
      <c r="H23">
        <v>76</v>
      </c>
    </row>
    <row r="24" spans="1:8" x14ac:dyDescent="0.3">
      <c r="A24" t="s">
        <v>2412</v>
      </c>
      <c r="B24">
        <v>6</v>
      </c>
      <c r="C24" t="s">
        <v>2310</v>
      </c>
      <c r="D24">
        <v>39</v>
      </c>
      <c r="E24" t="s">
        <v>2413</v>
      </c>
      <c r="F24" t="s">
        <v>2423</v>
      </c>
      <c r="G24" t="s">
        <v>2424</v>
      </c>
      <c r="H24">
        <v>269</v>
      </c>
    </row>
    <row r="25" spans="1:8" x14ac:dyDescent="0.3">
      <c r="A25" t="s">
        <v>2412</v>
      </c>
      <c r="B25">
        <v>6</v>
      </c>
      <c r="C25" t="s">
        <v>2310</v>
      </c>
      <c r="D25">
        <v>39</v>
      </c>
      <c r="E25" t="s">
        <v>2413</v>
      </c>
      <c r="F25" t="s">
        <v>2425</v>
      </c>
      <c r="H25" s="2">
        <v>6889</v>
      </c>
    </row>
    <row r="26" spans="1:8" x14ac:dyDescent="0.3">
      <c r="A26" t="s">
        <v>2412</v>
      </c>
      <c r="B26">
        <v>6</v>
      </c>
      <c r="C26" t="s">
        <v>2310</v>
      </c>
      <c r="D26">
        <v>39</v>
      </c>
      <c r="E26" t="s">
        <v>2413</v>
      </c>
      <c r="F26" t="s">
        <v>2425</v>
      </c>
      <c r="G26" t="s">
        <v>2415</v>
      </c>
      <c r="H26">
        <v>155</v>
      </c>
    </row>
    <row r="27" spans="1:8" x14ac:dyDescent="0.3">
      <c r="A27" t="s">
        <v>2412</v>
      </c>
      <c r="B27">
        <v>6</v>
      </c>
      <c r="C27" t="s">
        <v>2310</v>
      </c>
      <c r="D27">
        <v>39</v>
      </c>
      <c r="E27" t="s">
        <v>2413</v>
      </c>
      <c r="F27" t="s">
        <v>2425</v>
      </c>
      <c r="G27" t="s">
        <v>2416</v>
      </c>
      <c r="H27">
        <v>182</v>
      </c>
    </row>
    <row r="28" spans="1:8" x14ac:dyDescent="0.3">
      <c r="A28" t="s">
        <v>2412</v>
      </c>
      <c r="B28">
        <v>6</v>
      </c>
      <c r="C28" t="s">
        <v>2310</v>
      </c>
      <c r="D28">
        <v>39</v>
      </c>
      <c r="E28" t="s">
        <v>2413</v>
      </c>
      <c r="F28" t="s">
        <v>2425</v>
      </c>
      <c r="G28" t="s">
        <v>2417</v>
      </c>
      <c r="H28">
        <v>438</v>
      </c>
    </row>
    <row r="29" spans="1:8" x14ac:dyDescent="0.3">
      <c r="A29" t="s">
        <v>2412</v>
      </c>
      <c r="B29">
        <v>6</v>
      </c>
      <c r="C29" t="s">
        <v>2310</v>
      </c>
      <c r="D29">
        <v>39</v>
      </c>
      <c r="E29" t="s">
        <v>2413</v>
      </c>
      <c r="F29" t="s">
        <v>2425</v>
      </c>
      <c r="G29" t="s">
        <v>2418</v>
      </c>
      <c r="H29">
        <v>425</v>
      </c>
    </row>
    <row r="30" spans="1:8" x14ac:dyDescent="0.3">
      <c r="A30" t="s">
        <v>2412</v>
      </c>
      <c r="B30">
        <v>6</v>
      </c>
      <c r="C30" t="s">
        <v>2310</v>
      </c>
      <c r="D30">
        <v>39</v>
      </c>
      <c r="E30" t="s">
        <v>2413</v>
      </c>
      <c r="F30" t="s">
        <v>2425</v>
      </c>
      <c r="G30" t="s">
        <v>2419</v>
      </c>
      <c r="H30" s="2">
        <v>5689</v>
      </c>
    </row>
    <row r="31" spans="1:8" x14ac:dyDescent="0.3">
      <c r="A31" t="s">
        <v>2412</v>
      </c>
      <c r="B31">
        <v>6</v>
      </c>
      <c r="C31" t="s">
        <v>2310</v>
      </c>
      <c r="D31">
        <v>39</v>
      </c>
      <c r="E31" t="s">
        <v>2413</v>
      </c>
      <c r="F31" t="s">
        <v>2425</v>
      </c>
      <c r="G31" t="s">
        <v>2424</v>
      </c>
      <c r="H31" s="2">
        <v>1661</v>
      </c>
    </row>
    <row r="32" spans="1:8" x14ac:dyDescent="0.3">
      <c r="A32" t="s">
        <v>2412</v>
      </c>
      <c r="B32">
        <v>6</v>
      </c>
      <c r="C32" t="s">
        <v>2310</v>
      </c>
      <c r="D32">
        <v>39</v>
      </c>
      <c r="E32" t="s">
        <v>2413</v>
      </c>
      <c r="F32" t="s">
        <v>2425</v>
      </c>
      <c r="G32" t="s">
        <v>2420</v>
      </c>
      <c r="H32" s="2">
        <v>5228</v>
      </c>
    </row>
    <row r="33" spans="1:8" x14ac:dyDescent="0.3">
      <c r="A33" t="s">
        <v>2412</v>
      </c>
      <c r="B33">
        <v>6</v>
      </c>
      <c r="C33" t="s">
        <v>2310</v>
      </c>
      <c r="D33">
        <v>39</v>
      </c>
      <c r="E33" t="s">
        <v>2413</v>
      </c>
      <c r="F33" t="s">
        <v>2426</v>
      </c>
      <c r="H33">
        <v>451</v>
      </c>
    </row>
    <row r="34" spans="1:8" x14ac:dyDescent="0.3">
      <c r="A34" t="s">
        <v>2412</v>
      </c>
      <c r="B34">
        <v>6</v>
      </c>
      <c r="C34" t="s">
        <v>2310</v>
      </c>
      <c r="D34">
        <v>39</v>
      </c>
      <c r="E34" t="s">
        <v>2413</v>
      </c>
      <c r="F34" t="s">
        <v>2426</v>
      </c>
      <c r="G34" t="s">
        <v>2415</v>
      </c>
      <c r="H34">
        <v>113</v>
      </c>
    </row>
    <row r="35" spans="1:8" x14ac:dyDescent="0.3">
      <c r="A35" t="s">
        <v>2412</v>
      </c>
      <c r="B35">
        <v>6</v>
      </c>
      <c r="C35" t="s">
        <v>2310</v>
      </c>
      <c r="D35">
        <v>39</v>
      </c>
      <c r="E35" t="s">
        <v>2413</v>
      </c>
      <c r="F35" t="s">
        <v>2426</v>
      </c>
      <c r="G35" t="s">
        <v>2416</v>
      </c>
      <c r="H35">
        <v>97</v>
      </c>
    </row>
    <row r="36" spans="1:8" x14ac:dyDescent="0.3">
      <c r="A36" t="s">
        <v>2412</v>
      </c>
      <c r="B36">
        <v>6</v>
      </c>
      <c r="C36" t="s">
        <v>2310</v>
      </c>
      <c r="D36">
        <v>39</v>
      </c>
      <c r="E36" t="s">
        <v>2413</v>
      </c>
      <c r="F36" t="s">
        <v>2426</v>
      </c>
      <c r="G36" t="s">
        <v>2417</v>
      </c>
      <c r="H36">
        <v>86</v>
      </c>
    </row>
    <row r="37" spans="1:8" x14ac:dyDescent="0.3">
      <c r="A37" t="s">
        <v>2412</v>
      </c>
      <c r="B37">
        <v>6</v>
      </c>
      <c r="C37" t="s">
        <v>2310</v>
      </c>
      <c r="D37">
        <v>39</v>
      </c>
      <c r="E37" t="s">
        <v>2413</v>
      </c>
      <c r="F37" t="s">
        <v>2426</v>
      </c>
      <c r="G37" t="s">
        <v>2418</v>
      </c>
      <c r="H37">
        <v>67</v>
      </c>
    </row>
    <row r="38" spans="1:8" x14ac:dyDescent="0.3">
      <c r="A38" t="s">
        <v>2412</v>
      </c>
      <c r="B38">
        <v>6</v>
      </c>
      <c r="C38" t="s">
        <v>2310</v>
      </c>
      <c r="D38">
        <v>39</v>
      </c>
      <c r="E38" t="s">
        <v>2413</v>
      </c>
      <c r="F38" t="s">
        <v>2426</v>
      </c>
      <c r="G38" t="s">
        <v>2419</v>
      </c>
      <c r="H38">
        <v>88</v>
      </c>
    </row>
    <row r="39" spans="1:8" x14ac:dyDescent="0.3">
      <c r="A39" t="s">
        <v>2412</v>
      </c>
      <c r="B39">
        <v>6</v>
      </c>
      <c r="C39" t="s">
        <v>2310</v>
      </c>
      <c r="D39">
        <v>39</v>
      </c>
      <c r="E39" t="s">
        <v>2413</v>
      </c>
      <c r="F39" t="s">
        <v>2426</v>
      </c>
      <c r="G39" t="s">
        <v>2427</v>
      </c>
      <c r="H39">
        <v>205</v>
      </c>
    </row>
    <row r="40" spans="1:8" x14ac:dyDescent="0.3">
      <c r="A40" t="s">
        <v>2412</v>
      </c>
      <c r="B40">
        <v>6</v>
      </c>
      <c r="C40" t="s">
        <v>2310</v>
      </c>
      <c r="D40">
        <v>39</v>
      </c>
      <c r="E40" t="s">
        <v>2413</v>
      </c>
      <c r="F40" t="s">
        <v>2428</v>
      </c>
      <c r="H40" s="2">
        <v>8765</v>
      </c>
    </row>
    <row r="41" spans="1:8" x14ac:dyDescent="0.3">
      <c r="A41" t="s">
        <v>2412</v>
      </c>
      <c r="B41">
        <v>6</v>
      </c>
      <c r="C41" t="s">
        <v>2310</v>
      </c>
      <c r="D41">
        <v>39</v>
      </c>
      <c r="E41" t="s">
        <v>2413</v>
      </c>
      <c r="F41" t="s">
        <v>2428</v>
      </c>
      <c r="G41" t="s">
        <v>2415</v>
      </c>
      <c r="H41">
        <v>113</v>
      </c>
    </row>
    <row r="42" spans="1:8" x14ac:dyDescent="0.3">
      <c r="A42" t="s">
        <v>2412</v>
      </c>
      <c r="B42">
        <v>6</v>
      </c>
      <c r="C42" t="s">
        <v>2310</v>
      </c>
      <c r="D42">
        <v>39</v>
      </c>
      <c r="E42" t="s">
        <v>2413</v>
      </c>
      <c r="F42" t="s">
        <v>2428</v>
      </c>
      <c r="G42" t="s">
        <v>2416</v>
      </c>
      <c r="H42">
        <v>194</v>
      </c>
    </row>
    <row r="43" spans="1:8" x14ac:dyDescent="0.3">
      <c r="A43" t="s">
        <v>2412</v>
      </c>
      <c r="B43">
        <v>6</v>
      </c>
      <c r="C43" t="s">
        <v>2310</v>
      </c>
      <c r="D43">
        <v>39</v>
      </c>
      <c r="E43" t="s">
        <v>2413</v>
      </c>
      <c r="F43" t="s">
        <v>2428</v>
      </c>
      <c r="G43" t="s">
        <v>2417</v>
      </c>
      <c r="H43">
        <v>282</v>
      </c>
    </row>
    <row r="44" spans="1:8" x14ac:dyDescent="0.3">
      <c r="A44" t="s">
        <v>2412</v>
      </c>
      <c r="B44">
        <v>6</v>
      </c>
      <c r="C44" t="s">
        <v>2310</v>
      </c>
      <c r="D44">
        <v>39</v>
      </c>
      <c r="E44" t="s">
        <v>2413</v>
      </c>
      <c r="F44" t="s">
        <v>2428</v>
      </c>
      <c r="G44" t="s">
        <v>2418</v>
      </c>
      <c r="H44">
        <v>406</v>
      </c>
    </row>
    <row r="45" spans="1:8" x14ac:dyDescent="0.3">
      <c r="A45" t="s">
        <v>2412</v>
      </c>
      <c r="B45">
        <v>6</v>
      </c>
      <c r="C45" t="s">
        <v>2310</v>
      </c>
      <c r="D45">
        <v>39</v>
      </c>
      <c r="E45" t="s">
        <v>2413</v>
      </c>
      <c r="F45" t="s">
        <v>2428</v>
      </c>
      <c r="G45" t="s">
        <v>2419</v>
      </c>
      <c r="H45" s="2">
        <v>7770</v>
      </c>
    </row>
    <row r="46" spans="1:8" x14ac:dyDescent="0.3">
      <c r="A46" t="s">
        <v>2412</v>
      </c>
      <c r="B46">
        <v>6</v>
      </c>
      <c r="C46" t="s">
        <v>2310</v>
      </c>
      <c r="D46">
        <v>39</v>
      </c>
      <c r="E46" t="s">
        <v>2413</v>
      </c>
      <c r="F46" t="s">
        <v>2428</v>
      </c>
      <c r="G46" t="s">
        <v>2427</v>
      </c>
      <c r="H46" s="2">
        <v>1182</v>
      </c>
    </row>
    <row r="47" spans="1:8" x14ac:dyDescent="0.3">
      <c r="A47" t="s">
        <v>2412</v>
      </c>
      <c r="B47">
        <v>6</v>
      </c>
      <c r="C47" t="s">
        <v>2310</v>
      </c>
      <c r="D47">
        <v>39</v>
      </c>
      <c r="E47" t="s">
        <v>2413</v>
      </c>
      <c r="F47" t="s">
        <v>2428</v>
      </c>
      <c r="G47" t="s">
        <v>2420</v>
      </c>
      <c r="H47" s="2">
        <v>7583</v>
      </c>
    </row>
    <row r="48" spans="1:8" x14ac:dyDescent="0.3">
      <c r="A48" t="s">
        <v>2412</v>
      </c>
      <c r="B48">
        <v>6</v>
      </c>
      <c r="C48" t="s">
        <v>2310</v>
      </c>
      <c r="D48">
        <v>39</v>
      </c>
      <c r="E48" t="s">
        <v>2413</v>
      </c>
      <c r="F48" t="s">
        <v>2429</v>
      </c>
    </row>
    <row r="49" spans="1:8" x14ac:dyDescent="0.3">
      <c r="A49" t="s">
        <v>2412</v>
      </c>
      <c r="B49">
        <v>6</v>
      </c>
      <c r="C49" t="s">
        <v>2310</v>
      </c>
      <c r="D49">
        <v>39</v>
      </c>
      <c r="E49" t="s">
        <v>2413</v>
      </c>
      <c r="F49" t="s">
        <v>2429</v>
      </c>
      <c r="G49" t="s">
        <v>2424</v>
      </c>
      <c r="H49" s="2">
        <v>54463000</v>
      </c>
    </row>
    <row r="50" spans="1:8" x14ac:dyDescent="0.3">
      <c r="A50" t="s">
        <v>2412</v>
      </c>
      <c r="B50">
        <v>6</v>
      </c>
      <c r="C50" t="s">
        <v>2310</v>
      </c>
      <c r="D50">
        <v>39</v>
      </c>
      <c r="E50" t="s">
        <v>2413</v>
      </c>
      <c r="F50" t="s">
        <v>2430</v>
      </c>
    </row>
    <row r="51" spans="1:8" x14ac:dyDescent="0.3">
      <c r="A51" t="s">
        <v>2412</v>
      </c>
      <c r="B51">
        <v>6</v>
      </c>
      <c r="C51" t="s">
        <v>2310</v>
      </c>
      <c r="D51">
        <v>39</v>
      </c>
      <c r="E51" t="s">
        <v>2413</v>
      </c>
      <c r="F51" t="s">
        <v>2430</v>
      </c>
      <c r="G51" t="s">
        <v>2427</v>
      </c>
      <c r="H51" s="2">
        <v>6915000</v>
      </c>
    </row>
    <row r="52" spans="1:8" x14ac:dyDescent="0.3">
      <c r="A52" t="s">
        <v>2412</v>
      </c>
      <c r="B52">
        <v>6</v>
      </c>
      <c r="C52" t="s">
        <v>2310</v>
      </c>
      <c r="D52">
        <v>39</v>
      </c>
      <c r="E52" t="s">
        <v>2413</v>
      </c>
      <c r="F52" t="s">
        <v>2431</v>
      </c>
      <c r="H52">
        <v>103</v>
      </c>
    </row>
    <row r="53" spans="1:8" x14ac:dyDescent="0.3">
      <c r="A53" t="s">
        <v>2412</v>
      </c>
      <c r="B53">
        <v>6</v>
      </c>
      <c r="C53" t="s">
        <v>2310</v>
      </c>
      <c r="D53">
        <v>39</v>
      </c>
      <c r="E53" t="s">
        <v>2413</v>
      </c>
      <c r="F53" t="s">
        <v>2431</v>
      </c>
      <c r="G53" t="s">
        <v>2432</v>
      </c>
      <c r="H53">
        <v>86</v>
      </c>
    </row>
    <row r="54" spans="1:8" x14ac:dyDescent="0.3">
      <c r="A54" t="s">
        <v>2412</v>
      </c>
      <c r="B54">
        <v>6</v>
      </c>
      <c r="C54" t="s">
        <v>2310</v>
      </c>
      <c r="D54">
        <v>39</v>
      </c>
      <c r="E54" t="s">
        <v>2413</v>
      </c>
      <c r="F54" t="s">
        <v>2431</v>
      </c>
      <c r="G54" t="s">
        <v>2433</v>
      </c>
      <c r="H54">
        <v>17</v>
      </c>
    </row>
    <row r="55" spans="1:8" x14ac:dyDescent="0.3">
      <c r="A55" t="s">
        <v>2412</v>
      </c>
      <c r="B55">
        <v>6</v>
      </c>
      <c r="C55" t="s">
        <v>2310</v>
      </c>
      <c r="D55">
        <v>39</v>
      </c>
      <c r="E55" t="s">
        <v>2413</v>
      </c>
      <c r="F55" t="s">
        <v>2434</v>
      </c>
      <c r="H55" s="2">
        <v>5634</v>
      </c>
    </row>
    <row r="56" spans="1:8" x14ac:dyDescent="0.3">
      <c r="A56" t="s">
        <v>2412</v>
      </c>
      <c r="B56">
        <v>6</v>
      </c>
      <c r="C56" t="s">
        <v>2310</v>
      </c>
      <c r="D56">
        <v>39</v>
      </c>
      <c r="E56" t="s">
        <v>2413</v>
      </c>
      <c r="F56" t="s">
        <v>2434</v>
      </c>
      <c r="G56" t="s">
        <v>2432</v>
      </c>
      <c r="H56" s="2">
        <v>5444</v>
      </c>
    </row>
    <row r="57" spans="1:8" x14ac:dyDescent="0.3">
      <c r="A57" t="s">
        <v>2412</v>
      </c>
      <c r="B57">
        <v>6</v>
      </c>
      <c r="C57" t="s">
        <v>2310</v>
      </c>
      <c r="D57">
        <v>39</v>
      </c>
      <c r="E57" t="s">
        <v>2413</v>
      </c>
      <c r="F57" t="s">
        <v>2434</v>
      </c>
      <c r="G57" t="s">
        <v>2433</v>
      </c>
      <c r="H57">
        <v>190</v>
      </c>
    </row>
    <row r="58" spans="1:8" x14ac:dyDescent="0.3">
      <c r="A58" t="s">
        <v>2412</v>
      </c>
      <c r="B58">
        <v>6</v>
      </c>
      <c r="C58" t="s">
        <v>2310</v>
      </c>
      <c r="D58">
        <v>39</v>
      </c>
      <c r="E58" t="s">
        <v>2413</v>
      </c>
      <c r="F58" t="s">
        <v>2435</v>
      </c>
      <c r="H58">
        <v>466</v>
      </c>
    </row>
    <row r="59" spans="1:8" x14ac:dyDescent="0.3">
      <c r="A59" t="s">
        <v>2412</v>
      </c>
      <c r="B59">
        <v>6</v>
      </c>
      <c r="C59" t="s">
        <v>2310</v>
      </c>
      <c r="D59">
        <v>39</v>
      </c>
      <c r="E59" t="s">
        <v>2413</v>
      </c>
      <c r="F59" t="s">
        <v>2436</v>
      </c>
      <c r="H59">
        <v>983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2515</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169</v>
      </c>
    </row>
    <row r="2" spans="1:10" s="9" customFormat="1" x14ac:dyDescent="0.3">
      <c r="A2" s="351" t="s">
        <v>5</v>
      </c>
      <c r="B2" s="352"/>
      <c r="C2" s="352"/>
      <c r="D2" s="352"/>
      <c r="E2" s="352"/>
      <c r="F2" s="352"/>
      <c r="G2" s="352"/>
      <c r="H2" s="353"/>
      <c r="I2" s="98" t="s">
        <v>6</v>
      </c>
      <c r="J2" s="350"/>
    </row>
    <row r="3" spans="1:10" x14ac:dyDescent="0.3">
      <c r="A3" s="77" t="s">
        <v>0</v>
      </c>
      <c r="B3" s="77" t="str">
        <f>Overview!B2</f>
        <v>City of Madera</v>
      </c>
      <c r="C3" s="94"/>
      <c r="D3" s="94"/>
      <c r="E3" s="94"/>
      <c r="F3" s="94"/>
      <c r="G3" s="94"/>
      <c r="H3" s="265"/>
      <c r="I3" s="95"/>
      <c r="J3" s="350"/>
    </row>
    <row r="4" spans="1:10" x14ac:dyDescent="0.3">
      <c r="A4" s="77" t="s">
        <v>2</v>
      </c>
      <c r="B4" s="77" t="str">
        <f>Overview!B3</f>
        <v>Madera County</v>
      </c>
      <c r="C4" s="94"/>
      <c r="D4" s="94"/>
      <c r="E4" s="94"/>
      <c r="F4" s="94"/>
      <c r="G4" s="94"/>
      <c r="H4" s="265"/>
      <c r="I4" s="95"/>
      <c r="J4" s="350"/>
    </row>
    <row r="6" spans="1:10" x14ac:dyDescent="0.3">
      <c r="A6" s="1" t="s">
        <v>170</v>
      </c>
      <c r="I6" s="155" t="s">
        <v>171</v>
      </c>
    </row>
    <row r="7" spans="1:10" ht="28.8" x14ac:dyDescent="0.3">
      <c r="A7" s="43" t="s">
        <v>172</v>
      </c>
      <c r="B7" s="39" t="str">
        <f>B3</f>
        <v>City of Madera</v>
      </c>
      <c r="C7" s="39" t="s">
        <v>1445</v>
      </c>
      <c r="D7" s="39" t="str">
        <f>B4</f>
        <v>Madera County</v>
      </c>
      <c r="E7" s="39" t="s">
        <v>2455</v>
      </c>
      <c r="F7" s="39" t="s">
        <v>173</v>
      </c>
    </row>
    <row r="8" spans="1:10" x14ac:dyDescent="0.3">
      <c r="A8" s="44" t="s">
        <v>174</v>
      </c>
      <c r="B8" s="45">
        <f>'Ref. ACS-5-YR'!H65</f>
        <v>65575</v>
      </c>
      <c r="C8" s="46">
        <f>B8/D8</f>
        <v>0.42055475388808722</v>
      </c>
      <c r="D8" s="45">
        <f>'Ref. ACS-5-YR'!R65</f>
        <v>155925</v>
      </c>
      <c r="E8" s="46">
        <f>D8/F8</f>
        <v>3.9629164045372513E-3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21732</v>
      </c>
      <c r="C13" s="16">
        <f>'Ref. DC-1990'!B5</f>
        <v>29281</v>
      </c>
      <c r="D13" s="16">
        <f>'Ref. DC-2000'!B5</f>
        <v>43207</v>
      </c>
      <c r="E13" s="16">
        <f>'Ref. DC-2010'!B8</f>
        <v>61416</v>
      </c>
      <c r="F13" s="16">
        <f>'Ref. DC-2020'!B11</f>
        <v>66224</v>
      </c>
      <c r="H13" s="267"/>
      <c r="I13" s="37"/>
    </row>
    <row r="14" spans="1:10" x14ac:dyDescent="0.3">
      <c r="A14" s="13" t="s">
        <v>177</v>
      </c>
      <c r="B14" s="20"/>
      <c r="C14" s="30">
        <f>(C13-B13)/B13</f>
        <v>0.34736793668323213</v>
      </c>
      <c r="D14" s="30">
        <f t="shared" ref="D14:F14" si="0">(D13-C13)/C13</f>
        <v>0.47559851097981626</v>
      </c>
      <c r="E14" s="30">
        <f t="shared" si="0"/>
        <v>0.42143634133358021</v>
      </c>
      <c r="F14" s="30">
        <f t="shared" si="0"/>
        <v>7.8285788719551913E-2</v>
      </c>
      <c r="H14" s="268"/>
      <c r="I14" s="37"/>
    </row>
    <row r="15" spans="1:10" x14ac:dyDescent="0.3">
      <c r="A15" s="49" t="s">
        <v>2538</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Madera</v>
      </c>
      <c r="C23" s="51" t="s">
        <v>179</v>
      </c>
      <c r="D23" s="51" t="str">
        <f>B4</f>
        <v>Madera County</v>
      </c>
      <c r="E23" s="51" t="s">
        <v>179</v>
      </c>
      <c r="F23" s="51" t="s">
        <v>173</v>
      </c>
      <c r="G23" s="51" t="s">
        <v>179</v>
      </c>
      <c r="H23" s="269"/>
      <c r="I23" s="26"/>
    </row>
    <row r="24" spans="1:9" x14ac:dyDescent="0.3">
      <c r="A24" s="13" t="s">
        <v>180</v>
      </c>
      <c r="B24" s="16">
        <f>B8</f>
        <v>65575</v>
      </c>
      <c r="C24" s="53"/>
      <c r="D24" s="16">
        <f>D8</f>
        <v>155925</v>
      </c>
      <c r="E24" s="53"/>
      <c r="F24" s="16">
        <f>F8</f>
        <v>39346023</v>
      </c>
      <c r="G24" s="53"/>
      <c r="H24" s="270"/>
      <c r="I24" s="37"/>
    </row>
    <row r="25" spans="1:9" x14ac:dyDescent="0.3">
      <c r="A25" s="13" t="s">
        <v>181</v>
      </c>
      <c r="B25" s="16">
        <f>'Ref. ACS-5-YR'!H8</f>
        <v>32142</v>
      </c>
      <c r="C25" s="53">
        <f>'Ref. ACS-5-YR'!I8</f>
        <v>0.49015630956919559</v>
      </c>
      <c r="D25" s="16">
        <f>'Ref. ACS-5-YR'!R8</f>
        <v>75307</v>
      </c>
      <c r="E25" s="53">
        <f>'Ref. ACS-5-YR'!S8</f>
        <v>0.48296937630270964</v>
      </c>
      <c r="F25" s="16">
        <f>'Ref. ACS-5-YR'!AB8</f>
        <v>19562882</v>
      </c>
      <c r="G25" s="53">
        <f>'Ref. ACS-5-YR'!AC8</f>
        <v>0.497</v>
      </c>
      <c r="H25" s="270"/>
      <c r="I25" s="37"/>
    </row>
    <row r="26" spans="1:9" x14ac:dyDescent="0.3">
      <c r="A26" s="13" t="s">
        <v>182</v>
      </c>
      <c r="B26" s="16">
        <f>'Ref. ACS-5-YR'!H9</f>
        <v>2870</v>
      </c>
      <c r="C26" s="53">
        <f>'Ref. ACS-5-YR'!I9</f>
        <v>4.3766679374761724E-2</v>
      </c>
      <c r="D26" s="16">
        <f>'Ref. ACS-5-YR'!R9</f>
        <v>5847</v>
      </c>
      <c r="E26" s="53">
        <f>'Ref. ACS-5-YR'!S9</f>
        <v>3.7498797498797497E-2</v>
      </c>
      <c r="F26" s="16">
        <f>'Ref. ACS-5-YR'!AB9</f>
        <v>1233088</v>
      </c>
      <c r="G26" s="53">
        <f>'Ref. ACS-5-YR'!AC9</f>
        <v>3.1E-2</v>
      </c>
      <c r="H26" s="270"/>
      <c r="I26" s="37"/>
    </row>
    <row r="27" spans="1:9" x14ac:dyDescent="0.3">
      <c r="A27" s="13" t="s">
        <v>183</v>
      </c>
      <c r="B27" s="16">
        <f>'Ref. ACS-5-YR'!H10</f>
        <v>2904</v>
      </c>
      <c r="C27" s="53">
        <f>'Ref. ACS-5-YR'!I10</f>
        <v>4.4285169653069008E-2</v>
      </c>
      <c r="D27" s="16">
        <f>'Ref. ACS-5-YR'!R10</f>
        <v>5949</v>
      </c>
      <c r="E27" s="53">
        <f>'Ref. ACS-5-YR'!S10</f>
        <v>3.8152958152958154E-2</v>
      </c>
      <c r="F27" s="16">
        <f>'Ref. ACS-5-YR'!AB10</f>
        <v>1242495</v>
      </c>
      <c r="G27" s="53">
        <f>'Ref. ACS-5-YR'!AC10</f>
        <v>3.2000000000000001E-2</v>
      </c>
      <c r="H27" s="270"/>
    </row>
    <row r="28" spans="1:9" x14ac:dyDescent="0.3">
      <c r="A28" s="13" t="s">
        <v>184</v>
      </c>
      <c r="B28" s="16">
        <f>'Ref. ACS-5-YR'!H11</f>
        <v>3167</v>
      </c>
      <c r="C28" s="53">
        <f>'Ref. ACS-5-YR'!I11</f>
        <v>4.8295844452916507E-2</v>
      </c>
      <c r="D28" s="16">
        <f>'Ref. ACS-5-YR'!R11</f>
        <v>6424</v>
      </c>
      <c r="E28" s="53">
        <f>'Ref. ACS-5-YR'!S11</f>
        <v>4.1199294532627863E-2</v>
      </c>
      <c r="F28" s="16">
        <f>'Ref. ACS-5-YR'!AB11</f>
        <v>1328272</v>
      </c>
      <c r="G28" s="53">
        <f>'Ref. ACS-5-YR'!AC11</f>
        <v>3.4000000000000002E-2</v>
      </c>
      <c r="H28" s="270"/>
    </row>
    <row r="29" spans="1:9" x14ac:dyDescent="0.3">
      <c r="A29" s="13" t="s">
        <v>185</v>
      </c>
      <c r="B29" s="16">
        <f>'Ref. ACS-5-YR'!H12</f>
        <v>1916</v>
      </c>
      <c r="C29" s="53">
        <f>'Ref. ACS-5-YR'!I12</f>
        <v>2.9218452154022113E-2</v>
      </c>
      <c r="D29" s="16">
        <f>'Ref. ACS-5-YR'!R12</f>
        <v>3497</v>
      </c>
      <c r="E29" s="53">
        <f>'Ref. ACS-5-YR'!S12</f>
        <v>2.2427449094115762E-2</v>
      </c>
      <c r="F29" s="16">
        <f>'Ref. ACS-5-YR'!AB12</f>
        <v>774841</v>
      </c>
      <c r="G29" s="53">
        <f>'Ref. ACS-5-YR'!AC12</f>
        <v>0.02</v>
      </c>
      <c r="H29" s="270"/>
      <c r="I29" s="37"/>
    </row>
    <row r="30" spans="1:9" x14ac:dyDescent="0.3">
      <c r="A30" s="13" t="s">
        <v>186</v>
      </c>
      <c r="B30" s="16">
        <f>'Ref. ACS-5-YR'!H13</f>
        <v>1084</v>
      </c>
      <c r="C30" s="53">
        <f>'Ref. ACS-5-YR'!I13</f>
        <v>1.6530690049561571E-2</v>
      </c>
      <c r="D30" s="16">
        <f>'Ref. ACS-5-YR'!R13</f>
        <v>2275</v>
      </c>
      <c r="E30" s="53">
        <f>'Ref. ACS-5-YR'!S13</f>
        <v>1.4590347923681257E-2</v>
      </c>
      <c r="F30" s="16">
        <f>'Ref. ACS-5-YR'!AB13</f>
        <v>525740</v>
      </c>
      <c r="G30" s="53">
        <f>'Ref. ACS-5-YR'!AC13</f>
        <v>1.2999999999999999E-2</v>
      </c>
      <c r="H30" s="270"/>
      <c r="I30" s="37"/>
    </row>
    <row r="31" spans="1:9" x14ac:dyDescent="0.3">
      <c r="A31" s="13" t="s">
        <v>187</v>
      </c>
      <c r="B31" s="16">
        <f>'Ref. ACS-5-YR'!H14</f>
        <v>489</v>
      </c>
      <c r="C31" s="53">
        <f>'Ref. ACS-5-YR'!I14</f>
        <v>7.45711017918414E-3</v>
      </c>
      <c r="D31" s="16">
        <f>'Ref. ACS-5-YR'!R14</f>
        <v>1241</v>
      </c>
      <c r="E31" s="53">
        <f>'Ref. ACS-5-YR'!S14</f>
        <v>7.9589546256212916E-3</v>
      </c>
      <c r="F31" s="16">
        <f>'Ref. ACS-5-YR'!AB14</f>
        <v>285907</v>
      </c>
      <c r="G31" s="53">
        <f>'Ref. ACS-5-YR'!AC14</f>
        <v>7.0000000000000001E-3</v>
      </c>
      <c r="H31" s="270"/>
      <c r="I31" s="37"/>
    </row>
    <row r="32" spans="1:9" x14ac:dyDescent="0.3">
      <c r="A32" s="13" t="s">
        <v>188</v>
      </c>
      <c r="B32" s="16">
        <f>'Ref. ACS-5-YR'!H15</f>
        <v>802</v>
      </c>
      <c r="C32" s="53">
        <f>'Ref. ACS-5-YR'!I15</f>
        <v>1.2230270682424705E-2</v>
      </c>
      <c r="D32" s="16">
        <f>'Ref. ACS-5-YR'!R15</f>
        <v>1182</v>
      </c>
      <c r="E32" s="53">
        <f>'Ref. ACS-5-YR'!S15</f>
        <v>7.5805675805675809E-3</v>
      </c>
      <c r="F32" s="16">
        <f>'Ref. ACS-5-YR'!AB15</f>
        <v>281350</v>
      </c>
      <c r="G32" s="53">
        <f>'Ref. ACS-5-YR'!AC15</f>
        <v>7.0000000000000001E-3</v>
      </c>
      <c r="H32" s="270"/>
      <c r="I32" s="37"/>
    </row>
    <row r="33" spans="1:9" x14ac:dyDescent="0.3">
      <c r="A33" s="13" t="s">
        <v>189</v>
      </c>
      <c r="B33" s="16">
        <f>'Ref. ACS-5-YR'!H16</f>
        <v>1259</v>
      </c>
      <c r="C33" s="53">
        <f>'Ref. ACS-5-YR'!I16</f>
        <v>1.9199390011437285E-2</v>
      </c>
      <c r="D33" s="16">
        <f>'Ref. ACS-5-YR'!R16</f>
        <v>2706</v>
      </c>
      <c r="E33" s="53">
        <f>'Ref. ACS-5-YR'!S16</f>
        <v>1.7354497354497355E-2</v>
      </c>
      <c r="F33" s="16">
        <f>'Ref. ACS-5-YR'!AB16</f>
        <v>821103</v>
      </c>
      <c r="G33" s="53">
        <f>'Ref. ACS-5-YR'!AC16</f>
        <v>2.1000000000000001E-2</v>
      </c>
      <c r="H33" s="270"/>
      <c r="I33" s="37"/>
    </row>
    <row r="34" spans="1:9" x14ac:dyDescent="0.3">
      <c r="A34" s="13" t="s">
        <v>190</v>
      </c>
      <c r="B34" s="16">
        <f>'Ref. ACS-5-YR'!H17</f>
        <v>2672</v>
      </c>
      <c r="C34" s="53">
        <f>'Ref. ACS-5-YR'!I17</f>
        <v>4.0747235989325198E-2</v>
      </c>
      <c r="D34" s="16">
        <f>'Ref. ACS-5-YR'!R17</f>
        <v>5303</v>
      </c>
      <c r="E34" s="53">
        <f>'Ref. ACS-5-YR'!S17</f>
        <v>3.4009940676607342E-2</v>
      </c>
      <c r="F34" s="16">
        <f>'Ref. ACS-5-YR'!AB17</f>
        <v>1594429</v>
      </c>
      <c r="G34" s="53">
        <f>'Ref. ACS-5-YR'!AC17</f>
        <v>4.1000000000000002E-2</v>
      </c>
      <c r="H34" s="270"/>
      <c r="I34" s="37"/>
    </row>
    <row r="35" spans="1:9" x14ac:dyDescent="0.3">
      <c r="A35" s="13" t="s">
        <v>191</v>
      </c>
      <c r="B35" s="16">
        <f>'Ref. ACS-5-YR'!H18</f>
        <v>2354</v>
      </c>
      <c r="C35" s="53">
        <f>'Ref. ACS-5-YR'!I18</f>
        <v>3.5897826915745328E-2</v>
      </c>
      <c r="D35" s="16">
        <f>'Ref. ACS-5-YR'!R18</f>
        <v>4840</v>
      </c>
      <c r="E35" s="53">
        <f>'Ref. ACS-5-YR'!S18</f>
        <v>3.1040564373897708E-2</v>
      </c>
      <c r="F35" s="16">
        <f>'Ref. ACS-5-YR'!AB18</f>
        <v>1505530</v>
      </c>
      <c r="G35" s="53">
        <f>'Ref. ACS-5-YR'!AC18</f>
        <v>3.7999999999999999E-2</v>
      </c>
      <c r="H35" s="270"/>
      <c r="I35" s="37"/>
    </row>
    <row r="36" spans="1:9" x14ac:dyDescent="0.3">
      <c r="A36" s="13" t="s">
        <v>192</v>
      </c>
      <c r="B36" s="16">
        <f>'Ref. ACS-5-YR'!H19</f>
        <v>2177</v>
      </c>
      <c r="C36" s="53">
        <f>'Ref. ACS-5-YR'!I19</f>
        <v>3.3198627525733895E-2</v>
      </c>
      <c r="D36" s="16">
        <f>'Ref. ACS-5-YR'!R19</f>
        <v>4457</v>
      </c>
      <c r="E36" s="53">
        <f>'Ref. ACS-5-YR'!S19</f>
        <v>2.8584255250921918E-2</v>
      </c>
      <c r="F36" s="16">
        <f>'Ref. ACS-5-YR'!AB19</f>
        <v>1377089</v>
      </c>
      <c r="G36" s="53">
        <f>'Ref. ACS-5-YR'!AC19</f>
        <v>3.5000000000000003E-2</v>
      </c>
      <c r="H36" s="270"/>
      <c r="I36" s="37"/>
    </row>
    <row r="37" spans="1:9" x14ac:dyDescent="0.3">
      <c r="A37" s="13" t="s">
        <v>193</v>
      </c>
      <c r="B37" s="16">
        <f>'Ref. ACS-5-YR'!H20</f>
        <v>1798</v>
      </c>
      <c r="C37" s="53">
        <f>'Ref. ACS-5-YR'!I20</f>
        <v>2.7418985894014487E-2</v>
      </c>
      <c r="D37" s="16">
        <f>'Ref. ACS-5-YR'!R20</f>
        <v>4629</v>
      </c>
      <c r="E37" s="53">
        <f>'Ref. ACS-5-YR'!S20</f>
        <v>2.9687349687349686E-2</v>
      </c>
      <c r="F37" s="16">
        <f>'Ref. ACS-5-YR'!AB20</f>
        <v>1265725</v>
      </c>
      <c r="G37" s="53">
        <f>'Ref. ACS-5-YR'!AC20</f>
        <v>3.2000000000000001E-2</v>
      </c>
      <c r="H37" s="270"/>
      <c r="I37" s="37"/>
    </row>
    <row r="38" spans="1:9" x14ac:dyDescent="0.3">
      <c r="A38" s="13" t="s">
        <v>194</v>
      </c>
      <c r="B38" s="16">
        <f>'Ref. ACS-5-YR'!H21</f>
        <v>1914</v>
      </c>
      <c r="C38" s="53">
        <f>'Ref. ACS-5-YR'!I21</f>
        <v>2.9187952725886389E-2</v>
      </c>
      <c r="D38" s="16">
        <f>'Ref. ACS-5-YR'!R21</f>
        <v>4211</v>
      </c>
      <c r="E38" s="53">
        <f>'Ref. ACS-5-YR'!S21</f>
        <v>2.7006573673240341E-2</v>
      </c>
      <c r="F38" s="16">
        <f>'Ref. ACS-5-YR'!AB21</f>
        <v>1264479</v>
      </c>
      <c r="G38" s="53">
        <f>'Ref. ACS-5-YR'!AC21</f>
        <v>3.2000000000000001E-2</v>
      </c>
      <c r="H38" s="270"/>
      <c r="I38" s="37"/>
    </row>
    <row r="39" spans="1:9" x14ac:dyDescent="0.3">
      <c r="A39" s="13" t="s">
        <v>195</v>
      </c>
      <c r="B39" s="16">
        <f>'Ref. ACS-5-YR'!H22</f>
        <v>1640</v>
      </c>
      <c r="C39" s="53">
        <f>'Ref. ACS-5-YR'!I22</f>
        <v>2.5009531071292414E-2</v>
      </c>
      <c r="D39" s="16">
        <f>'Ref. ACS-5-YR'!R22</f>
        <v>4111</v>
      </c>
      <c r="E39" s="53">
        <f>'Ref. ACS-5-YR'!S22</f>
        <v>2.6365239698573031E-2</v>
      </c>
      <c r="F39" s="16">
        <f>'Ref. ACS-5-YR'!AB22</f>
        <v>1245267</v>
      </c>
      <c r="G39" s="53">
        <f>'Ref. ACS-5-YR'!AC22</f>
        <v>3.2000000000000001E-2</v>
      </c>
      <c r="H39" s="270"/>
      <c r="I39" s="37"/>
    </row>
    <row r="40" spans="1:9" x14ac:dyDescent="0.3">
      <c r="A40" s="13" t="s">
        <v>196</v>
      </c>
      <c r="B40" s="16">
        <f>'Ref. ACS-5-YR'!H23</f>
        <v>1262</v>
      </c>
      <c r="C40" s="53">
        <f>'Ref. ACS-5-YR'!I23</f>
        <v>1.9245139153640869E-2</v>
      </c>
      <c r="D40" s="16">
        <f>'Ref. ACS-5-YR'!R23</f>
        <v>4114</v>
      </c>
      <c r="E40" s="53">
        <f>'Ref. ACS-5-YR'!S23</f>
        <v>2.6384479717813051E-2</v>
      </c>
      <c r="F40" s="16">
        <f>'Ref. ACS-5-YR'!AB23</f>
        <v>1216743</v>
      </c>
      <c r="G40" s="53">
        <f>'Ref. ACS-5-YR'!AC23</f>
        <v>3.1E-2</v>
      </c>
      <c r="H40" s="270"/>
      <c r="I40" s="37"/>
    </row>
    <row r="41" spans="1:9" x14ac:dyDescent="0.3">
      <c r="A41" s="13" t="s">
        <v>197</v>
      </c>
      <c r="B41" s="16">
        <f>'Ref. ACS-5-YR'!H24</f>
        <v>566</v>
      </c>
      <c r="C41" s="53">
        <f>'Ref. ACS-5-YR'!I24</f>
        <v>8.6313381624094545E-3</v>
      </c>
      <c r="D41" s="16">
        <f>'Ref. ACS-5-YR'!R24</f>
        <v>1863</v>
      </c>
      <c r="E41" s="53">
        <f>'Ref. ACS-5-YR'!S24</f>
        <v>1.1948051948051949E-2</v>
      </c>
      <c r="F41" s="16">
        <f>'Ref. ACS-5-YR'!AB24</f>
        <v>470895</v>
      </c>
      <c r="G41" s="53">
        <f>'Ref. ACS-5-YR'!AC24</f>
        <v>1.2E-2</v>
      </c>
      <c r="H41" s="270"/>
      <c r="I41" s="37"/>
    </row>
    <row r="42" spans="1:9" x14ac:dyDescent="0.3">
      <c r="A42" s="13" t="s">
        <v>198</v>
      </c>
      <c r="B42" s="16">
        <f>'Ref. ACS-5-YR'!H25</f>
        <v>674</v>
      </c>
      <c r="C42" s="53">
        <f>'Ref. ACS-5-YR'!I25</f>
        <v>1.0278307281738468E-2</v>
      </c>
      <c r="D42" s="16">
        <f>'Ref. ACS-5-YR'!R25</f>
        <v>2326</v>
      </c>
      <c r="E42" s="53">
        <f>'Ref. ACS-5-YR'!S25</f>
        <v>1.4917428250761583E-2</v>
      </c>
      <c r="F42" s="16">
        <f>'Ref. ACS-5-YR'!AB25</f>
        <v>618484</v>
      </c>
      <c r="G42" s="53">
        <f>'Ref. ACS-5-YR'!AC25</f>
        <v>1.6E-2</v>
      </c>
      <c r="H42" s="270"/>
      <c r="I42" s="37"/>
    </row>
    <row r="43" spans="1:9" x14ac:dyDescent="0.3">
      <c r="A43" s="13" t="s">
        <v>199</v>
      </c>
      <c r="B43" s="16">
        <f>'Ref. ACS-5-YR'!H26</f>
        <v>418</v>
      </c>
      <c r="C43" s="53">
        <f>'Ref. ACS-5-YR'!I26</f>
        <v>6.3743804803659933E-3</v>
      </c>
      <c r="D43" s="16">
        <f>'Ref. ACS-5-YR'!R26</f>
        <v>1504</v>
      </c>
      <c r="E43" s="53">
        <f>'Ref. ACS-5-YR'!S26</f>
        <v>9.6456629789963121E-3</v>
      </c>
      <c r="F43" s="16">
        <f>'Ref. ACS-5-YR'!AB26</f>
        <v>378972</v>
      </c>
      <c r="G43" s="53">
        <f>'Ref. ACS-5-YR'!AC26</f>
        <v>0.01</v>
      </c>
      <c r="H43" s="270"/>
      <c r="I43" s="37"/>
    </row>
    <row r="44" spans="1:9" x14ac:dyDescent="0.3">
      <c r="A44" s="13" t="s">
        <v>200</v>
      </c>
      <c r="B44" s="16">
        <f>'Ref. ACS-5-YR'!H27</f>
        <v>318</v>
      </c>
      <c r="C44" s="53">
        <f>'Ref. ACS-5-YR'!I27</f>
        <v>4.8494090735798703E-3</v>
      </c>
      <c r="D44" s="16">
        <f>'Ref. ACS-5-YR'!R27</f>
        <v>1867</v>
      </c>
      <c r="E44" s="53">
        <f>'Ref. ACS-5-YR'!S27</f>
        <v>1.197370530703864E-2</v>
      </c>
      <c r="F44" s="16">
        <f>'Ref. ACS-5-YR'!AB27</f>
        <v>499096</v>
      </c>
      <c r="G44" s="53">
        <f>'Ref. ACS-5-YR'!AC27</f>
        <v>1.2999999999999999E-2</v>
      </c>
      <c r="H44" s="270"/>
      <c r="I44" s="37"/>
    </row>
    <row r="45" spans="1:9" x14ac:dyDescent="0.3">
      <c r="A45" s="13" t="s">
        <v>201</v>
      </c>
      <c r="B45" s="16">
        <f>'Ref. ACS-5-YR'!H28</f>
        <v>766</v>
      </c>
      <c r="C45" s="53">
        <f>'Ref. ACS-5-YR'!I28</f>
        <v>1.16812809759817E-2</v>
      </c>
      <c r="D45" s="16">
        <f>'Ref. ACS-5-YR'!R28</f>
        <v>3078</v>
      </c>
      <c r="E45" s="53">
        <f>'Ref. ACS-5-YR'!S28</f>
        <v>1.9740259740259742E-2</v>
      </c>
      <c r="F45" s="16">
        <f>'Ref. ACS-5-YR'!AB28</f>
        <v>643905</v>
      </c>
      <c r="G45" s="53">
        <f>'Ref. ACS-5-YR'!AC28</f>
        <v>1.6E-2</v>
      </c>
      <c r="H45" s="270"/>
      <c r="I45" s="37"/>
    </row>
    <row r="46" spans="1:9" x14ac:dyDescent="0.3">
      <c r="A46" s="13" t="s">
        <v>202</v>
      </c>
      <c r="B46" s="16">
        <f>'Ref. ACS-5-YR'!H29</f>
        <v>431</v>
      </c>
      <c r="C46" s="53">
        <f>'Ref. ACS-5-YR'!I29</f>
        <v>6.5726267632481893E-3</v>
      </c>
      <c r="D46" s="16">
        <f>'Ref. ACS-5-YR'!R29</f>
        <v>1625</v>
      </c>
      <c r="E46" s="53">
        <f>'Ref. ACS-5-YR'!S29</f>
        <v>1.0421677088343755E-2</v>
      </c>
      <c r="F46" s="16">
        <f>'Ref. ACS-5-YR'!AB29</f>
        <v>427222</v>
      </c>
      <c r="G46" s="53">
        <f>'Ref. ACS-5-YR'!AC29</f>
        <v>1.0999999999999999E-2</v>
      </c>
      <c r="H46" s="270"/>
      <c r="I46" s="37"/>
    </row>
    <row r="47" spans="1:9" x14ac:dyDescent="0.3">
      <c r="A47" s="13" t="s">
        <v>203</v>
      </c>
      <c r="B47" s="16">
        <f>'Ref. ACS-5-YR'!H30</f>
        <v>368</v>
      </c>
      <c r="C47" s="53">
        <f>'Ref. ACS-5-YR'!I30</f>
        <v>5.6118947769729314E-3</v>
      </c>
      <c r="D47" s="16">
        <f>'Ref. ACS-5-YR'!R30</f>
        <v>1187</v>
      </c>
      <c r="E47" s="53">
        <f>'Ref. ACS-5-YR'!S30</f>
        <v>7.6126342793009462E-3</v>
      </c>
      <c r="F47" s="16">
        <f>'Ref. ACS-5-YR'!AB30</f>
        <v>278926</v>
      </c>
      <c r="G47" s="53">
        <f>'Ref. ACS-5-YR'!AC30</f>
        <v>7.0000000000000001E-3</v>
      </c>
      <c r="H47" s="270"/>
      <c r="I47" s="37"/>
    </row>
    <row r="48" spans="1:9" x14ac:dyDescent="0.3">
      <c r="A48" s="13" t="s">
        <v>204</v>
      </c>
      <c r="B48" s="16">
        <f>'Ref. ACS-5-YR'!H31</f>
        <v>293</v>
      </c>
      <c r="C48" s="53">
        <f>'Ref. ACS-5-YR'!I31</f>
        <v>4.4681662218833398E-3</v>
      </c>
      <c r="D48" s="16">
        <f>'Ref. ACS-5-YR'!R31</f>
        <v>1071</v>
      </c>
      <c r="E48" s="53">
        <f>'Ref. ACS-5-YR'!S31</f>
        <v>6.8686868686868687E-3</v>
      </c>
      <c r="F48" s="16">
        <f>'Ref. ACS-5-YR'!AB31</f>
        <v>283324</v>
      </c>
      <c r="G48" s="53">
        <f>'Ref. ACS-5-YR'!AC31</f>
        <v>7.0000000000000001E-3</v>
      </c>
      <c r="H48" s="270"/>
      <c r="I48" s="37"/>
    </row>
    <row r="49" spans="1:9" x14ac:dyDescent="0.3">
      <c r="A49" s="13" t="s">
        <v>205</v>
      </c>
      <c r="B49" s="16">
        <f>'Ref. ACS-5-YR'!H32</f>
        <v>33433</v>
      </c>
      <c r="C49" s="53">
        <f>'Ref. ACS-5-YR'!I32</f>
        <v>0.50984369043080446</v>
      </c>
      <c r="D49" s="16">
        <f>'Ref. ACS-5-YR'!R32</f>
        <v>80618</v>
      </c>
      <c r="E49" s="53">
        <f>'Ref. ACS-5-YR'!S32</f>
        <v>0.51703062369729036</v>
      </c>
      <c r="F49" s="16">
        <f>'Ref. ACS-5-YR'!AB32</f>
        <v>19783141</v>
      </c>
      <c r="G49" s="53">
        <f>'Ref. ACS-5-YR'!AC32</f>
        <v>0.503</v>
      </c>
      <c r="H49" s="270"/>
      <c r="I49" s="37"/>
    </row>
    <row r="50" spans="1:9" x14ac:dyDescent="0.3">
      <c r="A50" s="13" t="s">
        <v>182</v>
      </c>
      <c r="B50" s="16">
        <f>'Ref. ACS-5-YR'!H33</f>
        <v>3037</v>
      </c>
      <c r="C50" s="53">
        <f>'Ref. ACS-5-YR'!I33</f>
        <v>4.6313381624094548E-2</v>
      </c>
      <c r="D50" s="16">
        <f>'Ref. ACS-5-YR'!R33</f>
        <v>5537</v>
      </c>
      <c r="E50" s="53">
        <f>'Ref. ACS-5-YR'!S33</f>
        <v>3.5510662177328844E-2</v>
      </c>
      <c r="F50" s="16">
        <f>'Ref. ACS-5-YR'!AB33</f>
        <v>1175994</v>
      </c>
      <c r="G50" s="53">
        <f>'Ref. ACS-5-YR'!AC33</f>
        <v>0.03</v>
      </c>
      <c r="H50" s="270"/>
      <c r="I50" s="37"/>
    </row>
    <row r="51" spans="1:9" x14ac:dyDescent="0.3">
      <c r="A51" s="13" t="s">
        <v>183</v>
      </c>
      <c r="B51" s="16">
        <f>'Ref. ACS-5-YR'!H34</f>
        <v>3568</v>
      </c>
      <c r="C51" s="53">
        <f>'Ref. ACS-5-YR'!I34</f>
        <v>5.4410979794128858E-2</v>
      </c>
      <c r="D51" s="16">
        <f>'Ref. ACS-5-YR'!R34</f>
        <v>6210</v>
      </c>
      <c r="E51" s="53">
        <f>'Ref. ACS-5-YR'!S34</f>
        <v>3.9826839826839829E-2</v>
      </c>
      <c r="F51" s="16">
        <f>'Ref. ACS-5-YR'!AB34</f>
        <v>1189152</v>
      </c>
      <c r="G51" s="53">
        <f>'Ref. ACS-5-YR'!AC34</f>
        <v>0.03</v>
      </c>
      <c r="H51" s="270"/>
      <c r="I51" s="37"/>
    </row>
    <row r="52" spans="1:9" x14ac:dyDescent="0.3">
      <c r="A52" s="13" t="s">
        <v>184</v>
      </c>
      <c r="B52" s="16">
        <f>'Ref. ACS-5-YR'!H35</f>
        <v>2927</v>
      </c>
      <c r="C52" s="53">
        <f>'Ref. ACS-5-YR'!I35</f>
        <v>4.4635913076629813E-2</v>
      </c>
      <c r="D52" s="16">
        <f>'Ref. ACS-5-YR'!R35</f>
        <v>5904</v>
      </c>
      <c r="E52" s="53">
        <f>'Ref. ACS-5-YR'!S35</f>
        <v>3.7864357864357864E-2</v>
      </c>
      <c r="F52" s="16">
        <f>'Ref. ACS-5-YR'!AB35</f>
        <v>1269171</v>
      </c>
      <c r="G52" s="53">
        <f>'Ref. ACS-5-YR'!AC35</f>
        <v>3.2000000000000001E-2</v>
      </c>
      <c r="H52" s="270"/>
      <c r="I52" s="37"/>
    </row>
    <row r="53" spans="1:9" x14ac:dyDescent="0.3">
      <c r="A53" s="13" t="s">
        <v>185</v>
      </c>
      <c r="B53" s="16">
        <f>'Ref. ACS-5-YR'!H36</f>
        <v>1287</v>
      </c>
      <c r="C53" s="53">
        <f>'Ref. ACS-5-YR'!I36</f>
        <v>1.9626382005337398E-2</v>
      </c>
      <c r="D53" s="16">
        <f>'Ref. ACS-5-YR'!R36</f>
        <v>3413</v>
      </c>
      <c r="E53" s="53">
        <f>'Ref. ACS-5-YR'!S36</f>
        <v>2.1888728555395223E-2</v>
      </c>
      <c r="F53" s="16">
        <f>'Ref. ACS-5-YR'!AB36</f>
        <v>743628</v>
      </c>
      <c r="G53" s="53">
        <f>'Ref. ACS-5-YR'!AC36</f>
        <v>1.9E-2</v>
      </c>
      <c r="H53" s="270"/>
      <c r="I53" s="37"/>
    </row>
    <row r="54" spans="1:9" x14ac:dyDescent="0.3">
      <c r="A54" s="13" t="s">
        <v>186</v>
      </c>
      <c r="B54" s="16">
        <f>'Ref. ACS-5-YR'!H37</f>
        <v>827</v>
      </c>
      <c r="C54" s="53">
        <f>'Ref. ACS-5-YR'!I37</f>
        <v>1.2611513534121235E-2</v>
      </c>
      <c r="D54" s="16">
        <f>'Ref. ACS-5-YR'!R37</f>
        <v>1966</v>
      </c>
      <c r="E54" s="53">
        <f>'Ref. ACS-5-YR'!S37</f>
        <v>1.2608625941959275E-2</v>
      </c>
      <c r="F54" s="16">
        <f>'Ref. ACS-5-YR'!AB37</f>
        <v>503863</v>
      </c>
      <c r="G54" s="53">
        <f>'Ref. ACS-5-YR'!AC37</f>
        <v>1.2999999999999999E-2</v>
      </c>
      <c r="H54" s="270"/>
      <c r="I54" s="37"/>
    </row>
    <row r="55" spans="1:9" x14ac:dyDescent="0.3">
      <c r="A55" s="13" t="s">
        <v>187</v>
      </c>
      <c r="B55" s="16">
        <f>'Ref. ACS-5-YR'!H38</f>
        <v>216</v>
      </c>
      <c r="C55" s="53">
        <f>'Ref. ACS-5-YR'!I38</f>
        <v>3.2939382386580254E-3</v>
      </c>
      <c r="D55" s="16">
        <f>'Ref. ACS-5-YR'!R38</f>
        <v>968</v>
      </c>
      <c r="E55" s="53">
        <f>'Ref. ACS-5-YR'!S38</f>
        <v>6.2081128747795413E-3</v>
      </c>
      <c r="F55" s="16">
        <f>'Ref. ACS-5-YR'!AB38</f>
        <v>259140</v>
      </c>
      <c r="G55" s="53">
        <f>'Ref. ACS-5-YR'!AC38</f>
        <v>7.0000000000000001E-3</v>
      </c>
      <c r="H55" s="270"/>
      <c r="I55" s="37"/>
    </row>
    <row r="56" spans="1:9" x14ac:dyDescent="0.3">
      <c r="A56" s="13" t="s">
        <v>188</v>
      </c>
      <c r="B56" s="16">
        <f>'Ref. ACS-5-YR'!H39</f>
        <v>529</v>
      </c>
      <c r="C56" s="53">
        <f>'Ref. ACS-5-YR'!I39</f>
        <v>8.0670987418985894E-3</v>
      </c>
      <c r="D56" s="16">
        <f>'Ref. ACS-5-YR'!R39</f>
        <v>1265</v>
      </c>
      <c r="E56" s="53">
        <f>'Ref. ACS-5-YR'!S39</f>
        <v>8.1128747795414461E-3</v>
      </c>
      <c r="F56" s="16">
        <f>'Ref. ACS-5-YR'!AB39</f>
        <v>259522</v>
      </c>
      <c r="G56" s="53">
        <f>'Ref. ACS-5-YR'!AC39</f>
        <v>7.0000000000000001E-3</v>
      </c>
      <c r="H56" s="270"/>
      <c r="I56" s="37"/>
    </row>
    <row r="57" spans="1:9" x14ac:dyDescent="0.3">
      <c r="A57" s="13" t="s">
        <v>189</v>
      </c>
      <c r="B57" s="16">
        <f>'Ref. ACS-5-YR'!H40</f>
        <v>1814</v>
      </c>
      <c r="C57" s="53">
        <f>'Ref. ACS-5-YR'!I40</f>
        <v>2.7662981319100267E-2</v>
      </c>
      <c r="D57" s="16">
        <f>'Ref. ACS-5-YR'!R40</f>
        <v>3549</v>
      </c>
      <c r="E57" s="53">
        <f>'Ref. ACS-5-YR'!S40</f>
        <v>2.2760942760942759E-2</v>
      </c>
      <c r="F57" s="16">
        <f>'Ref. ACS-5-YR'!AB40</f>
        <v>787614</v>
      </c>
      <c r="G57" s="53">
        <f>'Ref. ACS-5-YR'!AC40</f>
        <v>0.02</v>
      </c>
      <c r="H57" s="270"/>
      <c r="I57" s="37"/>
    </row>
    <row r="58" spans="1:9" x14ac:dyDescent="0.3">
      <c r="A58" s="13" t="s">
        <v>190</v>
      </c>
      <c r="B58" s="16">
        <f>'Ref. ACS-5-YR'!H41</f>
        <v>2298</v>
      </c>
      <c r="C58" s="53">
        <f>'Ref. ACS-5-YR'!I41</f>
        <v>3.5043842927945101E-2</v>
      </c>
      <c r="D58" s="16">
        <f>'Ref. ACS-5-YR'!R41</f>
        <v>5966</v>
      </c>
      <c r="E58" s="53">
        <f>'Ref. ACS-5-YR'!S41</f>
        <v>3.8261984928651592E-2</v>
      </c>
      <c r="F58" s="16">
        <f>'Ref. ACS-5-YR'!AB41</f>
        <v>1489607</v>
      </c>
      <c r="G58" s="53">
        <f>'Ref. ACS-5-YR'!AC41</f>
        <v>3.7999999999999999E-2</v>
      </c>
      <c r="H58" s="270"/>
      <c r="I58" s="37"/>
    </row>
    <row r="59" spans="1:9" x14ac:dyDescent="0.3">
      <c r="A59" s="13" t="s">
        <v>191</v>
      </c>
      <c r="B59" s="16">
        <f>'Ref. ACS-5-YR'!H42</f>
        <v>2592</v>
      </c>
      <c r="C59" s="53">
        <f>'Ref. ACS-5-YR'!I42</f>
        <v>3.9527258863896304E-2</v>
      </c>
      <c r="D59" s="16">
        <f>'Ref. ACS-5-YR'!R42</f>
        <v>5652</v>
      </c>
      <c r="E59" s="53">
        <f>'Ref. ACS-5-YR'!S42</f>
        <v>3.6248196248196252E-2</v>
      </c>
      <c r="F59" s="16">
        <f>'Ref. ACS-5-YR'!AB42</f>
        <v>1418347</v>
      </c>
      <c r="G59" s="53">
        <f>'Ref. ACS-5-YR'!AC42</f>
        <v>3.5999999999999997E-2</v>
      </c>
      <c r="H59" s="270"/>
      <c r="I59" s="37"/>
    </row>
    <row r="60" spans="1:9" x14ac:dyDescent="0.3">
      <c r="A60" s="13" t="s">
        <v>192</v>
      </c>
      <c r="B60" s="16">
        <f>'Ref. ACS-5-YR'!H43</f>
        <v>2195</v>
      </c>
      <c r="C60" s="53">
        <f>'Ref. ACS-5-YR'!I43</f>
        <v>3.3473122378955396E-2</v>
      </c>
      <c r="D60" s="16">
        <f>'Ref. ACS-5-YR'!R43</f>
        <v>4992</v>
      </c>
      <c r="E60" s="53">
        <f>'Ref. ACS-5-YR'!S43</f>
        <v>3.2015392015392018E-2</v>
      </c>
      <c r="F60" s="16">
        <f>'Ref. ACS-5-YR'!AB43</f>
        <v>1333091</v>
      </c>
      <c r="G60" s="53">
        <f>'Ref. ACS-5-YR'!AC43</f>
        <v>3.4000000000000002E-2</v>
      </c>
      <c r="H60" s="270"/>
      <c r="I60" s="37"/>
    </row>
    <row r="61" spans="1:9" x14ac:dyDescent="0.3">
      <c r="A61" s="13" t="s">
        <v>193</v>
      </c>
      <c r="B61" s="16">
        <f>'Ref. ACS-5-YR'!H44</f>
        <v>2432</v>
      </c>
      <c r="C61" s="53">
        <f>'Ref. ACS-5-YR'!I44</f>
        <v>3.7087304613038503E-2</v>
      </c>
      <c r="D61" s="16">
        <f>'Ref. ACS-5-YR'!R44</f>
        <v>5467</v>
      </c>
      <c r="E61" s="53">
        <f>'Ref. ACS-5-YR'!S44</f>
        <v>3.5061728395061727E-2</v>
      </c>
      <c r="F61" s="16">
        <f>'Ref. ACS-5-YR'!AB44</f>
        <v>1257998</v>
      </c>
      <c r="G61" s="53">
        <f>'Ref. ACS-5-YR'!AC44</f>
        <v>3.2000000000000001E-2</v>
      </c>
      <c r="H61" s="270"/>
      <c r="I61" s="37"/>
    </row>
    <row r="62" spans="1:9" x14ac:dyDescent="0.3">
      <c r="A62" s="13" t="s">
        <v>194</v>
      </c>
      <c r="B62" s="16">
        <f>'Ref. ACS-5-YR'!H45</f>
        <v>2174</v>
      </c>
      <c r="C62" s="53">
        <f>'Ref. ACS-5-YR'!I45</f>
        <v>3.3152878383530308E-2</v>
      </c>
      <c r="D62" s="16">
        <f>'Ref. ACS-5-YR'!R45</f>
        <v>4766</v>
      </c>
      <c r="E62" s="53">
        <f>'Ref. ACS-5-YR'!S45</f>
        <v>3.0565977232643898E-2</v>
      </c>
      <c r="F62" s="16">
        <f>'Ref. ACS-5-YR'!AB45</f>
        <v>1272718</v>
      </c>
      <c r="G62" s="53">
        <f>'Ref. ACS-5-YR'!AC45</f>
        <v>3.2000000000000001E-2</v>
      </c>
      <c r="H62" s="270"/>
      <c r="I62" s="37"/>
    </row>
    <row r="63" spans="1:9" x14ac:dyDescent="0.3">
      <c r="A63" s="13" t="s">
        <v>195</v>
      </c>
      <c r="B63" s="16">
        <f>'Ref. ACS-5-YR'!H46</f>
        <v>1433</v>
      </c>
      <c r="C63" s="53">
        <f>'Ref. ACS-5-YR'!I46</f>
        <v>2.1852840259245138E-2</v>
      </c>
      <c r="D63" s="16">
        <f>'Ref. ACS-5-YR'!R46</f>
        <v>4520</v>
      </c>
      <c r="E63" s="53">
        <f>'Ref. ACS-5-YR'!S46</f>
        <v>2.8988295654962321E-2</v>
      </c>
      <c r="F63" s="16">
        <f>'Ref. ACS-5-YR'!AB46</f>
        <v>1256691</v>
      </c>
      <c r="G63" s="53">
        <f>'Ref. ACS-5-YR'!AC46</f>
        <v>3.2000000000000001E-2</v>
      </c>
      <c r="H63" s="270"/>
      <c r="I63" s="37"/>
    </row>
    <row r="64" spans="1:9" x14ac:dyDescent="0.3">
      <c r="A64" s="13" t="s">
        <v>196</v>
      </c>
      <c r="B64" s="16">
        <f>'Ref. ACS-5-YR'!H47</f>
        <v>1562</v>
      </c>
      <c r="C64" s="53">
        <f>'Ref. ACS-5-YR'!I47</f>
        <v>2.3820053373999239E-2</v>
      </c>
      <c r="D64" s="16">
        <f>'Ref. ACS-5-YR'!R47</f>
        <v>4767</v>
      </c>
      <c r="E64" s="53">
        <f>'Ref. ACS-5-YR'!S47</f>
        <v>3.0572390572390574E-2</v>
      </c>
      <c r="F64" s="16">
        <f>'Ref. ACS-5-YR'!AB47</f>
        <v>1268744</v>
      </c>
      <c r="G64" s="53">
        <f>'Ref. ACS-5-YR'!AC47</f>
        <v>3.2000000000000001E-2</v>
      </c>
      <c r="H64" s="270"/>
    </row>
    <row r="65" spans="1:9" x14ac:dyDescent="0.3">
      <c r="A65" s="13" t="s">
        <v>197</v>
      </c>
      <c r="B65" s="16">
        <f>'Ref. ACS-5-YR'!H48</f>
        <v>653</v>
      </c>
      <c r="C65" s="53">
        <f>'Ref. ACS-5-YR'!I48</f>
        <v>9.9580632863133824E-3</v>
      </c>
      <c r="D65" s="16">
        <f>'Ref. ACS-5-YR'!R48</f>
        <v>1699</v>
      </c>
      <c r="E65" s="53">
        <f>'Ref. ACS-5-YR'!S48</f>
        <v>1.0896264229597562E-2</v>
      </c>
      <c r="F65" s="16">
        <f>'Ref. ACS-5-YR'!AB48</f>
        <v>493428</v>
      </c>
      <c r="G65" s="53">
        <f>'Ref. ACS-5-YR'!AC48</f>
        <v>1.2999999999999999E-2</v>
      </c>
      <c r="H65" s="270"/>
    </row>
    <row r="66" spans="1:9" x14ac:dyDescent="0.3">
      <c r="A66" s="13" t="s">
        <v>198</v>
      </c>
      <c r="B66" s="16">
        <f>'Ref. ACS-5-YR'!H49</f>
        <v>671</v>
      </c>
      <c r="C66" s="53">
        <f>'Ref. ACS-5-YR'!I49</f>
        <v>1.0232558139534883E-2</v>
      </c>
      <c r="D66" s="16">
        <f>'Ref. ACS-5-YR'!R49</f>
        <v>2451</v>
      </c>
      <c r="E66" s="53">
        <f>'Ref. ACS-5-YR'!S49</f>
        <v>1.5719095719095719E-2</v>
      </c>
      <c r="F66" s="16">
        <f>'Ref. ACS-5-YR'!AB49</f>
        <v>671381</v>
      </c>
      <c r="G66" s="53">
        <f>'Ref. ACS-5-YR'!AC49</f>
        <v>1.7000000000000001E-2</v>
      </c>
      <c r="H66" s="270"/>
      <c r="I66" s="61" t="s">
        <v>206</v>
      </c>
    </row>
    <row r="67" spans="1:9" x14ac:dyDescent="0.3">
      <c r="A67" s="13" t="s">
        <v>199</v>
      </c>
      <c r="B67" s="16">
        <f>'Ref. ACS-5-YR'!H50</f>
        <v>357</v>
      </c>
      <c r="C67" s="53">
        <f>'Ref. ACS-5-YR'!I50</f>
        <v>5.4441479222264583E-3</v>
      </c>
      <c r="D67" s="16">
        <f>'Ref. ACS-5-YR'!R50</f>
        <v>1394</v>
      </c>
      <c r="E67" s="53">
        <f>'Ref. ACS-5-YR'!S50</f>
        <v>8.9401956068622737E-3</v>
      </c>
      <c r="F67" s="16">
        <f>'Ref. ACS-5-YR'!AB50</f>
        <v>418129</v>
      </c>
      <c r="G67" s="53">
        <f>'Ref. ACS-5-YR'!AC50</f>
        <v>1.0999999999999999E-2</v>
      </c>
      <c r="H67" s="270"/>
    </row>
    <row r="68" spans="1:9" x14ac:dyDescent="0.3">
      <c r="A68" s="13" t="s">
        <v>200</v>
      </c>
      <c r="B68" s="16">
        <f>'Ref. ACS-5-YR'!H51</f>
        <v>536</v>
      </c>
      <c r="C68" s="53">
        <f>'Ref. ACS-5-YR'!I51</f>
        <v>8.1738467403736186E-3</v>
      </c>
      <c r="D68" s="16">
        <f>'Ref. ACS-5-YR'!R51</f>
        <v>2583</v>
      </c>
      <c r="E68" s="53">
        <f>'Ref. ACS-5-YR'!S51</f>
        <v>1.6565656565656565E-2</v>
      </c>
      <c r="F68" s="16">
        <f>'Ref. ACS-5-YR'!AB51</f>
        <v>569190</v>
      </c>
      <c r="G68" s="53">
        <f>'Ref. ACS-5-YR'!AC51</f>
        <v>1.4E-2</v>
      </c>
      <c r="H68" s="270"/>
    </row>
    <row r="69" spans="1:9" x14ac:dyDescent="0.3">
      <c r="A69" s="13" t="s">
        <v>201</v>
      </c>
      <c r="B69" s="16">
        <f>'Ref. ACS-5-YR'!H52</f>
        <v>847</v>
      </c>
      <c r="C69" s="53">
        <f>'Ref. ACS-5-YR'!I52</f>
        <v>1.291650781547846E-2</v>
      </c>
      <c r="D69" s="16">
        <f>'Ref. ACS-5-YR'!R52</f>
        <v>2874</v>
      </c>
      <c r="E69" s="53">
        <f>'Ref. ACS-5-YR'!S52</f>
        <v>1.8431938431938431E-2</v>
      </c>
      <c r="F69" s="16">
        <f>'Ref. ACS-5-YR'!AB52</f>
        <v>761088</v>
      </c>
      <c r="G69" s="53">
        <f>'Ref. ACS-5-YR'!AC52</f>
        <v>1.9E-2</v>
      </c>
      <c r="H69" s="270"/>
    </row>
    <row r="70" spans="1:9" x14ac:dyDescent="0.3">
      <c r="A70" s="13" t="s">
        <v>202</v>
      </c>
      <c r="B70" s="16">
        <f>'Ref. ACS-5-YR'!H53</f>
        <v>415</v>
      </c>
      <c r="C70" s="53">
        <f>'Ref. ACS-5-YR'!I53</f>
        <v>6.328631338162409E-3</v>
      </c>
      <c r="D70" s="16">
        <f>'Ref. ACS-5-YR'!R53</f>
        <v>1828</v>
      </c>
      <c r="E70" s="53">
        <f>'Ref. ACS-5-YR'!S53</f>
        <v>1.172358505691839E-2</v>
      </c>
      <c r="F70" s="16">
        <f>'Ref. ACS-5-YR'!AB53</f>
        <v>524400</v>
      </c>
      <c r="G70" s="53">
        <f>'Ref. ACS-5-YR'!AC53</f>
        <v>1.2999999999999999E-2</v>
      </c>
      <c r="H70" s="270"/>
    </row>
    <row r="71" spans="1:9" x14ac:dyDescent="0.3">
      <c r="A71" s="13" t="s">
        <v>203</v>
      </c>
      <c r="B71" s="16">
        <f>'Ref. ACS-5-YR'!H54</f>
        <v>530</v>
      </c>
      <c r="C71" s="53">
        <f>'Ref. ACS-5-YR'!I54</f>
        <v>8.08234845596645E-3</v>
      </c>
      <c r="D71" s="16">
        <f>'Ref. ACS-5-YR'!R54</f>
        <v>1320</v>
      </c>
      <c r="E71" s="53">
        <f>'Ref. ACS-5-YR'!S54</f>
        <v>8.4656084656084662E-3</v>
      </c>
      <c r="F71" s="16">
        <f>'Ref. ACS-5-YR'!AB54</f>
        <v>378825</v>
      </c>
      <c r="G71" s="53">
        <f>'Ref. ACS-5-YR'!AC54</f>
        <v>0.01</v>
      </c>
      <c r="H71" s="270"/>
    </row>
    <row r="72" spans="1:9" x14ac:dyDescent="0.3">
      <c r="A72" s="13" t="s">
        <v>204</v>
      </c>
      <c r="B72" s="16">
        <f>'Ref. ACS-5-YR'!H55</f>
        <v>533</v>
      </c>
      <c r="C72" s="53">
        <f>'Ref. ACS-5-YR'!I55</f>
        <v>8.1280975981700351E-3</v>
      </c>
      <c r="D72" s="16">
        <f>'Ref. ACS-5-YR'!R55</f>
        <v>1527</v>
      </c>
      <c r="E72" s="53">
        <f>'Ref. ACS-5-YR'!S55</f>
        <v>9.7931697931697929E-3</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Madera</v>
      </c>
      <c r="C76" s="51" t="str">
        <f>B3</f>
        <v>City of Madera</v>
      </c>
      <c r="D76" s="51" t="str">
        <f>B4</f>
        <v>Madera County</v>
      </c>
      <c r="E76" s="51" t="str">
        <f>B4</f>
        <v>Madera County</v>
      </c>
      <c r="F76" s="51" t="s">
        <v>173</v>
      </c>
      <c r="G76" s="51" t="s">
        <v>173</v>
      </c>
      <c r="H76" s="269"/>
      <c r="I76" s="37"/>
    </row>
    <row r="77" spans="1:9" x14ac:dyDescent="0.3">
      <c r="A77" s="13" t="s">
        <v>180</v>
      </c>
      <c r="B77" s="16">
        <f>B24</f>
        <v>65575</v>
      </c>
      <c r="C77" s="53"/>
      <c r="D77" s="16">
        <f>D24</f>
        <v>155925</v>
      </c>
      <c r="E77" s="53"/>
      <c r="F77" s="16">
        <f>F24</f>
        <v>39346023</v>
      </c>
      <c r="G77" s="53"/>
      <c r="H77" s="270"/>
      <c r="I77" s="37"/>
    </row>
    <row r="78" spans="1:9" x14ac:dyDescent="0.3">
      <c r="A78" s="13" t="s">
        <v>209</v>
      </c>
      <c r="B78" s="16">
        <f t="shared" ref="B78:G78" si="1">SUM(B26,B50)</f>
        <v>5907</v>
      </c>
      <c r="C78" s="53">
        <f t="shared" si="1"/>
        <v>9.0080060998856265E-2</v>
      </c>
      <c r="D78" s="16">
        <f t="shared" si="1"/>
        <v>11384</v>
      </c>
      <c r="E78" s="53">
        <f t="shared" si="1"/>
        <v>7.3009459676126348E-2</v>
      </c>
      <c r="F78" s="16">
        <f t="shared" si="1"/>
        <v>2409082</v>
      </c>
      <c r="G78" s="53">
        <f t="shared" si="1"/>
        <v>6.0999999999999999E-2</v>
      </c>
      <c r="H78" s="270"/>
      <c r="I78" s="37"/>
    </row>
    <row r="79" spans="1:9" x14ac:dyDescent="0.3">
      <c r="A79" s="13" t="s">
        <v>210</v>
      </c>
      <c r="B79" s="16">
        <f>SUM(B27:B29,B51:B53)</f>
        <v>15769</v>
      </c>
      <c r="C79" s="53">
        <f t="shared" ref="C79:G87" si="2">SUM(C27,C51)</f>
        <v>9.8696149447197873E-2</v>
      </c>
      <c r="D79" s="16">
        <f t="shared" si="2"/>
        <v>12159</v>
      </c>
      <c r="E79" s="53">
        <f t="shared" si="2"/>
        <v>7.7979797979797982E-2</v>
      </c>
      <c r="F79" s="16">
        <f t="shared" si="2"/>
        <v>2431647</v>
      </c>
      <c r="G79" s="53">
        <f t="shared" si="2"/>
        <v>6.2E-2</v>
      </c>
      <c r="H79" s="270"/>
      <c r="I79" s="37"/>
    </row>
    <row r="80" spans="1:9" x14ac:dyDescent="0.3">
      <c r="A80" s="13" t="s">
        <v>211</v>
      </c>
      <c r="B80" s="16">
        <f>SUM(B30:B33,B54:B57)</f>
        <v>7020</v>
      </c>
      <c r="C80" s="53">
        <f t="shared" si="2"/>
        <v>9.2931757529546327E-2</v>
      </c>
      <c r="D80" s="16">
        <f t="shared" si="2"/>
        <v>12328</v>
      </c>
      <c r="E80" s="53">
        <f t="shared" si="2"/>
        <v>7.9063652396985734E-2</v>
      </c>
      <c r="F80" s="16">
        <f t="shared" si="2"/>
        <v>2597443</v>
      </c>
      <c r="G80" s="53">
        <f t="shared" si="2"/>
        <v>6.6000000000000003E-2</v>
      </c>
      <c r="H80" s="270"/>
      <c r="I80" s="37"/>
    </row>
    <row r="81" spans="1:9" x14ac:dyDescent="0.3">
      <c r="A81" s="13" t="s">
        <v>212</v>
      </c>
      <c r="B81" s="16">
        <f>SUM(B34:B35,B58:B59)</f>
        <v>9916</v>
      </c>
      <c r="C81" s="53">
        <f t="shared" si="2"/>
        <v>4.8844834159359515E-2</v>
      </c>
      <c r="D81" s="16">
        <f t="shared" si="2"/>
        <v>6910</v>
      </c>
      <c r="E81" s="53">
        <f t="shared" si="2"/>
        <v>4.4316177649510985E-2</v>
      </c>
      <c r="F81" s="16">
        <f t="shared" si="2"/>
        <v>1518469</v>
      </c>
      <c r="G81" s="53">
        <f t="shared" si="2"/>
        <v>3.9E-2</v>
      </c>
      <c r="H81" s="270"/>
      <c r="I81" s="37"/>
    </row>
    <row r="82" spans="1:9" x14ac:dyDescent="0.3">
      <c r="A82" s="13" t="s">
        <v>213</v>
      </c>
      <c r="B82" s="16">
        <f>SUM(B36:B37,B60:B61)</f>
        <v>8602</v>
      </c>
      <c r="C82" s="53">
        <f t="shared" si="2"/>
        <v>2.9142203583682805E-2</v>
      </c>
      <c r="D82" s="16">
        <f t="shared" si="2"/>
        <v>4241</v>
      </c>
      <c r="E82" s="53">
        <f t="shared" si="2"/>
        <v>2.7198973865640533E-2</v>
      </c>
      <c r="F82" s="16">
        <f t="shared" si="2"/>
        <v>1029603</v>
      </c>
      <c r="G82" s="53">
        <f t="shared" si="2"/>
        <v>2.5999999999999999E-2</v>
      </c>
      <c r="H82" s="270"/>
      <c r="I82" s="37"/>
    </row>
    <row r="83" spans="1:9" x14ac:dyDescent="0.3">
      <c r="A83" s="13" t="s">
        <v>214</v>
      </c>
      <c r="B83" s="16">
        <f>SUM(B38:B39,B62:B63)</f>
        <v>7161</v>
      </c>
      <c r="C83" s="53">
        <f t="shared" si="2"/>
        <v>1.0751048417842166E-2</v>
      </c>
      <c r="D83" s="16">
        <f t="shared" si="2"/>
        <v>2209</v>
      </c>
      <c r="E83" s="53">
        <f t="shared" si="2"/>
        <v>1.4167067500400834E-2</v>
      </c>
      <c r="F83" s="16">
        <f t="shared" si="2"/>
        <v>545047</v>
      </c>
      <c r="G83" s="53">
        <f t="shared" si="2"/>
        <v>1.4E-2</v>
      </c>
      <c r="H83" s="270"/>
      <c r="I83" s="37"/>
    </row>
    <row r="84" spans="1:9" x14ac:dyDescent="0.3">
      <c r="A84" s="13" t="s">
        <v>215</v>
      </c>
      <c r="B84" s="16">
        <f>SUM(B40:B42,B64:B66)</f>
        <v>5388</v>
      </c>
      <c r="C84" s="53">
        <f t="shared" si="2"/>
        <v>2.0297369424323294E-2</v>
      </c>
      <c r="D84" s="16">
        <f t="shared" si="2"/>
        <v>2447</v>
      </c>
      <c r="E84" s="53">
        <f t="shared" si="2"/>
        <v>1.5693442360109028E-2</v>
      </c>
      <c r="F84" s="16">
        <f t="shared" si="2"/>
        <v>540872</v>
      </c>
      <c r="G84" s="53">
        <f t="shared" si="2"/>
        <v>1.4E-2</v>
      </c>
      <c r="H84" s="270"/>
      <c r="I84" s="37"/>
    </row>
    <row r="85" spans="1:9" x14ac:dyDescent="0.3">
      <c r="A85" s="13" t="s">
        <v>216</v>
      </c>
      <c r="B85" s="16">
        <f>SUM(B43:B45,B67:B69)</f>
        <v>3242</v>
      </c>
      <c r="C85" s="53">
        <f t="shared" si="2"/>
        <v>4.6862371330537556E-2</v>
      </c>
      <c r="D85" s="16">
        <f t="shared" si="2"/>
        <v>6255</v>
      </c>
      <c r="E85" s="53">
        <f t="shared" si="2"/>
        <v>4.0115440115440118E-2</v>
      </c>
      <c r="F85" s="16">
        <f t="shared" si="2"/>
        <v>1608717</v>
      </c>
      <c r="G85" s="53">
        <f t="shared" si="2"/>
        <v>4.1000000000000002E-2</v>
      </c>
      <c r="H85" s="270"/>
      <c r="I85" s="37"/>
    </row>
    <row r="86" spans="1:9" x14ac:dyDescent="0.3">
      <c r="A86" s="13" t="s">
        <v>217</v>
      </c>
      <c r="B86" s="16">
        <f>SUM(B46:B47,B70:B71)</f>
        <v>1744</v>
      </c>
      <c r="C86" s="53">
        <f t="shared" si="2"/>
        <v>7.5791078917270299E-2</v>
      </c>
      <c r="D86" s="16">
        <f t="shared" si="2"/>
        <v>11269</v>
      </c>
      <c r="E86" s="53">
        <f t="shared" si="2"/>
        <v>7.2271925605258941E-2</v>
      </c>
      <c r="F86" s="16">
        <f t="shared" si="2"/>
        <v>3084036</v>
      </c>
      <c r="G86" s="53">
        <f t="shared" si="2"/>
        <v>7.9000000000000001E-2</v>
      </c>
      <c r="H86" s="270"/>
    </row>
    <row r="87" spans="1:9" x14ac:dyDescent="0.3">
      <c r="A87" s="13" t="s">
        <v>218</v>
      </c>
      <c r="B87" s="16">
        <f>SUM(B48,B72)</f>
        <v>826</v>
      </c>
      <c r="C87" s="53">
        <f t="shared" si="2"/>
        <v>7.5425085779641632E-2</v>
      </c>
      <c r="D87" s="16">
        <f t="shared" si="2"/>
        <v>10492</v>
      </c>
      <c r="E87" s="53">
        <f t="shared" si="2"/>
        <v>6.7288760622093963E-2</v>
      </c>
      <c r="F87" s="16">
        <f t="shared" si="2"/>
        <v>2923877</v>
      </c>
      <c r="G87" s="53">
        <f t="shared" si="2"/>
        <v>7.3999999999999996E-2</v>
      </c>
      <c r="H87" s="270"/>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Madera</v>
      </c>
      <c r="C92" s="51" t="s">
        <v>179</v>
      </c>
      <c r="D92" s="51" t="str">
        <f>B4</f>
        <v>Madera County</v>
      </c>
      <c r="E92" s="51" t="s">
        <v>179</v>
      </c>
      <c r="F92" s="51" t="s">
        <v>173</v>
      </c>
      <c r="G92" s="51" t="s">
        <v>179</v>
      </c>
      <c r="H92" s="269"/>
      <c r="I92" s="37"/>
    </row>
    <row r="93" spans="1:9" x14ac:dyDescent="0.3">
      <c r="A93" s="13" t="s">
        <v>180</v>
      </c>
      <c r="B93" s="16">
        <f>B8</f>
        <v>65575</v>
      </c>
      <c r="C93" s="55"/>
      <c r="D93" s="16">
        <f>D8</f>
        <v>155925</v>
      </c>
      <c r="E93" s="55"/>
      <c r="F93" s="16">
        <f>F8</f>
        <v>39346023</v>
      </c>
      <c r="G93" s="55"/>
      <c r="H93" s="270"/>
      <c r="I93" s="37"/>
    </row>
    <row r="94" spans="1:9" x14ac:dyDescent="0.3">
      <c r="A94" s="13" t="s">
        <v>220</v>
      </c>
      <c r="B94" s="16">
        <f>'Ref. ACS-5-YR'!H70</f>
        <v>31827</v>
      </c>
      <c r="C94" s="55">
        <f>'Ref. ACS-5-YR'!I70</f>
        <v>0.48535264963781927</v>
      </c>
      <c r="D94" s="16">
        <f>'Ref. ACS-5-YR'!R70</f>
        <v>94643</v>
      </c>
      <c r="E94" s="55">
        <f>'Ref. ACS-5-YR'!S70</f>
        <v>0.60697771364438036</v>
      </c>
      <c r="F94" s="16">
        <f>'Ref. ACS-5-YR'!AB70</f>
        <v>22053721</v>
      </c>
      <c r="G94" s="55">
        <f>'Ref. ACS-5-YR'!AC70</f>
        <v>0.56100000000000005</v>
      </c>
      <c r="H94" s="270"/>
      <c r="I94" s="37"/>
    </row>
    <row r="95" spans="1:9" x14ac:dyDescent="0.3">
      <c r="A95" s="13" t="s">
        <v>221</v>
      </c>
      <c r="B95" s="16">
        <f>'Ref. ACS-5-YR'!H71</f>
        <v>2833</v>
      </c>
      <c r="C95" s="55">
        <f>'Ref. ACS-5-YR'!I71</f>
        <v>4.3202439954250861E-2</v>
      </c>
      <c r="D95" s="16">
        <f>'Ref. ACS-5-YR'!R71</f>
        <v>4919</v>
      </c>
      <c r="E95" s="55">
        <f>'Ref. ACS-5-YR'!S71</f>
        <v>3.1547218213884884E-2</v>
      </c>
      <c r="F95" s="16">
        <f>'Ref. ACS-5-YR'!AB71</f>
        <v>2250962</v>
      </c>
      <c r="G95" s="55">
        <f>'Ref. ACS-5-YR'!AC71</f>
        <v>5.7000000000000002E-2</v>
      </c>
      <c r="H95" s="270"/>
      <c r="I95" s="37"/>
    </row>
    <row r="96" spans="1:9" x14ac:dyDescent="0.3">
      <c r="A96" s="13" t="s">
        <v>222</v>
      </c>
      <c r="B96" s="16">
        <f>'Ref. ACS-5-YR'!H72</f>
        <v>683</v>
      </c>
      <c r="C96" s="55">
        <f>'Ref. ACS-5-YR'!I72</f>
        <v>1.0415554708349218E-2</v>
      </c>
      <c r="D96" s="16">
        <f>'Ref. ACS-5-YR'!R72</f>
        <v>2503</v>
      </c>
      <c r="E96" s="55">
        <f>'Ref. ACS-5-YR'!S72</f>
        <v>1.605258938592272E-2</v>
      </c>
      <c r="F96" s="16">
        <f>'Ref. ACS-5-YR'!AB72</f>
        <v>311629</v>
      </c>
      <c r="G96" s="55">
        <f>'Ref. ACS-5-YR'!AC72</f>
        <v>8.0000000000000002E-3</v>
      </c>
      <c r="H96" s="270"/>
      <c r="I96" s="37"/>
    </row>
    <row r="97" spans="1:9" x14ac:dyDescent="0.3">
      <c r="A97" s="13" t="s">
        <v>223</v>
      </c>
      <c r="B97" s="16">
        <f>'Ref. ACS-5-YR'!H73</f>
        <v>1078</v>
      </c>
      <c r="C97" s="55">
        <f>'Ref. ACS-5-YR'!I73</f>
        <v>1.6439191765154404E-2</v>
      </c>
      <c r="D97" s="16">
        <f>'Ref. ACS-5-YR'!R73</f>
        <v>3362</v>
      </c>
      <c r="E97" s="55">
        <f>'Ref. ACS-5-YR'!S73</f>
        <v>2.1561648228314894E-2</v>
      </c>
      <c r="F97" s="16">
        <f>'Ref. ACS-5-YR'!AB73</f>
        <v>5834312</v>
      </c>
      <c r="G97" s="55">
        <f>'Ref. ACS-5-YR'!AC73</f>
        <v>0.14799999999999999</v>
      </c>
      <c r="H97" s="270"/>
      <c r="I97" s="37"/>
    </row>
    <row r="98" spans="1:9" x14ac:dyDescent="0.3">
      <c r="A98" s="13" t="s">
        <v>224</v>
      </c>
      <c r="B98" s="16">
        <f>'Ref. ACS-5-YR'!H74</f>
        <v>70</v>
      </c>
      <c r="C98" s="55">
        <f>'Ref. ACS-5-YR'!I74</f>
        <v>1.067479984750286E-3</v>
      </c>
      <c r="D98" s="16">
        <f>'Ref. ACS-5-YR'!R74</f>
        <v>159</v>
      </c>
      <c r="E98" s="55">
        <f>'Ref. ACS-5-YR'!S74</f>
        <v>1.0197210197210196E-3</v>
      </c>
      <c r="F98" s="16">
        <f>'Ref. ACS-5-YR'!AB74</f>
        <v>149636</v>
      </c>
      <c r="G98" s="55">
        <f>'Ref. ACS-5-YR'!AC74</f>
        <v>4.0000000000000001E-3</v>
      </c>
      <c r="H98" s="270"/>
      <c r="I98" s="37"/>
    </row>
    <row r="99" spans="1:9" x14ac:dyDescent="0.3">
      <c r="A99" s="13" t="s">
        <v>225</v>
      </c>
      <c r="B99" s="16">
        <f>'Ref. ACS-5-YR'!H75</f>
        <v>23537</v>
      </c>
      <c r="C99" s="55">
        <f>'Ref. ACS-5-YR'!I75</f>
        <v>0.35893252001524972</v>
      </c>
      <c r="D99" s="16">
        <f>'Ref. ACS-5-YR'!R75</f>
        <v>38486</v>
      </c>
      <c r="E99" s="55">
        <f>'Ref. ACS-5-YR'!S75</f>
        <v>0.24682379349046016</v>
      </c>
      <c r="F99" s="16">
        <f>'Ref. ACS-5-YR'!AB75</f>
        <v>5623747</v>
      </c>
      <c r="G99" s="55">
        <f>'Ref. ACS-5-YR'!AC75</f>
        <v>0.14299999999999999</v>
      </c>
      <c r="H99" s="270"/>
      <c r="I99" s="37"/>
    </row>
    <row r="100" spans="1:9" x14ac:dyDescent="0.3">
      <c r="A100" s="13" t="s">
        <v>226</v>
      </c>
      <c r="B100" s="16">
        <f>'Ref. ACS-5-YR'!H76</f>
        <v>5547</v>
      </c>
      <c r="C100" s="55">
        <f>'Ref. ACS-5-YR'!I76</f>
        <v>8.4590163934426227E-2</v>
      </c>
      <c r="D100" s="16">
        <f>'Ref. ACS-5-YR'!R76</f>
        <v>11853</v>
      </c>
      <c r="E100" s="55">
        <f>'Ref. ACS-5-YR'!S76</f>
        <v>7.6017316017316011E-2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3823</v>
      </c>
      <c r="C101" s="55">
        <f>'Ref. ACS-5-YR'!I77</f>
        <v>5.8299656881433473E-2</v>
      </c>
      <c r="D101" s="16">
        <f>'Ref. ACS-5-YR'!R77</f>
        <v>6998</v>
      </c>
      <c r="E101" s="55">
        <f>'Ref. ACS-5-YR'!S77</f>
        <v>4.4880551547218213E-2</v>
      </c>
      <c r="F101" s="16">
        <f>'Ref. ACS-5-YR'!AB77</f>
        <v>1472235</v>
      </c>
      <c r="G101" s="55">
        <f>'Ref. ACS-5-YR'!AC77</f>
        <v>3.6999999999999998E-2</v>
      </c>
      <c r="H101" s="270"/>
      <c r="I101" s="37" t="s">
        <v>228</v>
      </c>
    </row>
    <row r="102" spans="1:9" x14ac:dyDescent="0.3">
      <c r="A102" s="13" t="s">
        <v>229</v>
      </c>
      <c r="B102" s="16">
        <f>'Ref. ACS-5-YR'!H78</f>
        <v>1724</v>
      </c>
      <c r="C102" s="55">
        <f>'Ref. ACS-5-YR'!I78</f>
        <v>2.6290507052992757E-2</v>
      </c>
      <c r="D102" s="16">
        <f>'Ref. ACS-5-YR'!R78</f>
        <v>4855</v>
      </c>
      <c r="E102" s="55">
        <f>'Ref. ACS-5-YR'!S78</f>
        <v>3.1136764470097802E-2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ht="28.8" x14ac:dyDescent="0.3">
      <c r="A106" s="56"/>
      <c r="B106" s="302" t="str">
        <f>B3</f>
        <v>City of Madera</v>
      </c>
      <c r="C106" s="51" t="s">
        <v>179</v>
      </c>
      <c r="D106" s="51" t="str">
        <f>B4</f>
        <v>Madera County</v>
      </c>
      <c r="E106" s="51" t="s">
        <v>179</v>
      </c>
      <c r="F106" s="51" t="s">
        <v>173</v>
      </c>
      <c r="G106" s="51" t="s">
        <v>179</v>
      </c>
      <c r="I106" s="37"/>
    </row>
    <row r="107" spans="1:9" x14ac:dyDescent="0.3">
      <c r="A107" s="13" t="s">
        <v>180</v>
      </c>
      <c r="B107" s="16">
        <f>B8</f>
        <v>65575</v>
      </c>
      <c r="C107" s="55"/>
      <c r="D107" s="16">
        <f>'Ref. ACS-5-YR'!R82</f>
        <v>155925</v>
      </c>
      <c r="E107" s="55"/>
      <c r="F107" s="16">
        <f>'Ref. ACS-5-YR'!AB82</f>
        <v>39346023</v>
      </c>
      <c r="G107" s="55" t="str">
        <f>'Ref. ACS-5-YR'!AC82</f>
        <v xml:space="preserve"> </v>
      </c>
      <c r="I107" s="37"/>
    </row>
    <row r="108" spans="1:9" x14ac:dyDescent="0.3">
      <c r="A108" s="13" t="s">
        <v>232</v>
      </c>
      <c r="B108" s="16">
        <f>'Ref. ACS-5-YR'!H83</f>
        <v>14256</v>
      </c>
      <c r="C108" s="55">
        <f>'Ref. ACS-5-YR'!I83</f>
        <v>0.21739992375142966</v>
      </c>
      <c r="D108" s="16">
        <f>'Ref. ACS-5-YR'!R83</f>
        <v>64967</v>
      </c>
      <c r="E108" s="55">
        <f>'Ref. ACS-5-YR'!S83</f>
        <v>0.41665544332210996</v>
      </c>
      <c r="F108" s="16">
        <f>'Ref. ACS-5-YR'!AB83</f>
        <v>23965094</v>
      </c>
      <c r="G108" s="55">
        <f>'Ref. ACS-5-YR'!AC83</f>
        <v>0.60899999999999999</v>
      </c>
      <c r="I108" s="37"/>
    </row>
    <row r="109" spans="1:9" x14ac:dyDescent="0.3">
      <c r="A109" s="13" t="s">
        <v>233</v>
      </c>
      <c r="B109" s="16">
        <f>'Ref. ACS-5-YR'!H84</f>
        <v>9389</v>
      </c>
      <c r="C109" s="55">
        <f>'Ref. ACS-5-YR'!I84</f>
        <v>0.14317956538314908</v>
      </c>
      <c r="D109" s="16">
        <f>'Ref. ACS-5-YR'!R84</f>
        <v>52109</v>
      </c>
      <c r="E109" s="55">
        <f>'Ref. ACS-5-YR'!S84</f>
        <v>0.3341927208593875</v>
      </c>
      <c r="F109" s="16">
        <f>'Ref. ACS-5-YR'!AB84</f>
        <v>14365145</v>
      </c>
      <c r="G109" s="55">
        <f>'Ref. ACS-5-YR'!AC84</f>
        <v>0.36499999999999999</v>
      </c>
      <c r="I109" s="37"/>
    </row>
    <row r="110" spans="1:9" x14ac:dyDescent="0.3">
      <c r="A110" s="13" t="s">
        <v>234</v>
      </c>
      <c r="B110" s="16">
        <f>'Ref. ACS-5-YR'!H85</f>
        <v>2766</v>
      </c>
      <c r="C110" s="55">
        <f>'Ref. ACS-5-YR'!I85</f>
        <v>4.2180709111704157E-2</v>
      </c>
      <c r="D110" s="16">
        <f>'Ref. ACS-5-YR'!R85</f>
        <v>4768</v>
      </c>
      <c r="E110" s="55">
        <f>'Ref. ACS-5-YR'!S85</f>
        <v>3.0578803912137246E-2</v>
      </c>
      <c r="F110" s="16">
        <f>'Ref. ACS-5-YR'!AB85</f>
        <v>2142371</v>
      </c>
      <c r="G110" s="55">
        <f>'Ref. ACS-5-YR'!AC85</f>
        <v>5.3999999999999999E-2</v>
      </c>
      <c r="I110" s="37"/>
    </row>
    <row r="111" spans="1:9" x14ac:dyDescent="0.3">
      <c r="A111" s="13" t="s">
        <v>235</v>
      </c>
      <c r="B111" s="16">
        <f>'Ref. ACS-5-YR'!H86</f>
        <v>171</v>
      </c>
      <c r="C111" s="55">
        <f>'Ref. ACS-5-YR'!I86</f>
        <v>2.6077011056042697E-3</v>
      </c>
      <c r="D111" s="16">
        <f>'Ref. ACS-5-YR'!R86</f>
        <v>1446</v>
      </c>
      <c r="E111" s="55">
        <f>'Ref. ACS-5-YR'!S86</f>
        <v>9.2736892736892743E-3</v>
      </c>
      <c r="F111" s="16">
        <f>'Ref. ACS-5-YR'!AB86</f>
        <v>131724</v>
      </c>
      <c r="G111" s="55">
        <f>'Ref. ACS-5-YR'!AC86</f>
        <v>3.0000000000000001E-3</v>
      </c>
      <c r="I111" s="37"/>
    </row>
    <row r="112" spans="1:9" x14ac:dyDescent="0.3">
      <c r="A112" s="13" t="s">
        <v>236</v>
      </c>
      <c r="B112" s="16">
        <f>'Ref. ACS-5-YR'!H87</f>
        <v>1035</v>
      </c>
      <c r="C112" s="55">
        <f>'Ref. ACS-5-YR'!I87</f>
        <v>1.578345406023637E-2</v>
      </c>
      <c r="D112" s="16">
        <f>'Ref. ACS-5-YR'!R87</f>
        <v>3166</v>
      </c>
      <c r="E112" s="55">
        <f>'Ref. ACS-5-YR'!S87</f>
        <v>2.030463363796697E-2</v>
      </c>
      <c r="F112" s="16">
        <f>'Ref. ACS-5-YR'!AB87</f>
        <v>5743983</v>
      </c>
      <c r="G112" s="55">
        <f>'Ref. ACS-5-YR'!AC87</f>
        <v>0.14599999999999999</v>
      </c>
      <c r="I112" s="37"/>
    </row>
    <row r="113" spans="1:9" x14ac:dyDescent="0.3">
      <c r="A113" s="13" t="s">
        <v>237</v>
      </c>
      <c r="B113" s="16">
        <f>'Ref. ACS-5-YR'!H88</f>
        <v>70</v>
      </c>
      <c r="C113" s="55">
        <f>'Ref. ACS-5-YR'!I88</f>
        <v>1.067479984750286E-3</v>
      </c>
      <c r="D113" s="16">
        <f>'Ref. ACS-5-YR'!R88</f>
        <v>127</v>
      </c>
      <c r="E113" s="55">
        <f>'Ref. ACS-5-YR'!S88</f>
        <v>8.1449414782748118E-4</v>
      </c>
      <c r="F113" s="16">
        <f>'Ref. ACS-5-YR'!AB88</f>
        <v>135524</v>
      </c>
      <c r="G113" s="55">
        <f>'Ref. ACS-5-YR'!AC88</f>
        <v>3.0000000000000001E-3</v>
      </c>
      <c r="I113" s="37"/>
    </row>
    <row r="114" spans="1:9" x14ac:dyDescent="0.3">
      <c r="A114" s="13" t="s">
        <v>238</v>
      </c>
      <c r="B114" s="16">
        <f>'Ref. ACS-5-YR'!H89</f>
        <v>0</v>
      </c>
      <c r="C114" s="55">
        <f>'Ref. ACS-5-YR'!I89</f>
        <v>0</v>
      </c>
      <c r="D114" s="16">
        <f>'Ref. ACS-5-YR'!R89</f>
        <v>320</v>
      </c>
      <c r="E114" s="55">
        <f>'Ref. ACS-5-YR'!S89</f>
        <v>2.0522687189353855E-3</v>
      </c>
      <c r="F114" s="16">
        <f>'Ref. ACS-5-YR'!AB89</f>
        <v>124148</v>
      </c>
      <c r="G114" s="55">
        <f>'Ref. ACS-5-YR'!AC89</f>
        <v>3.0000000000000001E-3</v>
      </c>
      <c r="I114" s="37"/>
    </row>
    <row r="115" spans="1:9" x14ac:dyDescent="0.3">
      <c r="A115" s="13" t="s">
        <v>239</v>
      </c>
      <c r="B115" s="16">
        <f>'Ref. ACS-5-YR'!H90</f>
        <v>825</v>
      </c>
      <c r="C115" s="55">
        <f>'Ref. ACS-5-YR'!I90</f>
        <v>1.2581014105985514E-2</v>
      </c>
      <c r="D115" s="16">
        <f>'Ref. ACS-5-YR'!R90</f>
        <v>3031</v>
      </c>
      <c r="E115" s="55">
        <f>'Ref. ACS-5-YR'!S90</f>
        <v>1.9438832772166105E-2</v>
      </c>
      <c r="F115" s="16">
        <f>'Ref. ACS-5-YR'!AB90</f>
        <v>1322199</v>
      </c>
      <c r="G115" s="55">
        <f>'Ref. ACS-5-YR'!AC90</f>
        <v>3.4000000000000002E-2</v>
      </c>
      <c r="I115" s="37"/>
    </row>
    <row r="116" spans="1:9" x14ac:dyDescent="0.3">
      <c r="A116" s="13" t="s">
        <v>240</v>
      </c>
      <c r="B116" s="16">
        <f>'Ref. ACS-5-YR'!H91</f>
        <v>18</v>
      </c>
      <c r="C116" s="55">
        <f>'Ref. ACS-5-YR'!I91</f>
        <v>2.744948532215021E-4</v>
      </c>
      <c r="D116" s="16">
        <f>'Ref. ACS-5-YR'!R91</f>
        <v>348</v>
      </c>
      <c r="E116" s="55">
        <f>'Ref. ACS-5-YR'!S91</f>
        <v>2.231842231842232E-3</v>
      </c>
      <c r="F116" s="16">
        <f>'Ref. ACS-5-YR'!AB91</f>
        <v>98006</v>
      </c>
      <c r="G116" s="55">
        <f>'Ref. ACS-5-YR'!AC91</f>
        <v>2E-3</v>
      </c>
      <c r="I116" s="37"/>
    </row>
    <row r="117" spans="1:9" x14ac:dyDescent="0.3">
      <c r="A117" s="13" t="s">
        <v>241</v>
      </c>
      <c r="B117" s="16">
        <f>'Ref. ACS-5-YR'!H92</f>
        <v>807</v>
      </c>
      <c r="C117" s="55">
        <f>'Ref. ACS-5-YR'!I92</f>
        <v>1.2306519252764011E-2</v>
      </c>
      <c r="D117" s="16">
        <f>'Ref. ACS-5-YR'!R92</f>
        <v>2683</v>
      </c>
      <c r="E117" s="55">
        <f>'Ref. ACS-5-YR'!S92</f>
        <v>1.7206990540323874E-2</v>
      </c>
      <c r="F117" s="16">
        <f>'Ref. ACS-5-YR'!AB92</f>
        <v>1224193</v>
      </c>
      <c r="G117" s="55">
        <f>'Ref. ACS-5-YR'!AC92</f>
        <v>3.1E-2</v>
      </c>
      <c r="I117" s="37"/>
    </row>
    <row r="118" spans="1:9" x14ac:dyDescent="0.3">
      <c r="A118" s="13" t="s">
        <v>242</v>
      </c>
      <c r="B118" s="16">
        <f>'Ref. ACS-5-YR'!H93</f>
        <v>51319</v>
      </c>
      <c r="C118" s="55">
        <f>'Ref. ACS-5-YR'!I93</f>
        <v>0.78260007624857031</v>
      </c>
      <c r="D118" s="16">
        <f>'Ref. ACS-5-YR'!R93</f>
        <v>90958</v>
      </c>
      <c r="E118" s="55">
        <f>'Ref. ACS-5-YR'!S93</f>
        <v>0.58334455667788998</v>
      </c>
      <c r="F118" s="16">
        <f>'Ref. ACS-5-YR'!AB93</f>
        <v>15380929</v>
      </c>
      <c r="G118" s="55">
        <f>'Ref. ACS-5-YR'!AC93</f>
        <v>0.39100000000000001</v>
      </c>
      <c r="I118" s="37"/>
    </row>
    <row r="119" spans="1:9" x14ac:dyDescent="0.3">
      <c r="A119" s="13" t="s">
        <v>233</v>
      </c>
      <c r="B119" s="16">
        <f>'Ref. ACS-5-YR'!H94</f>
        <v>22438</v>
      </c>
      <c r="C119" s="55">
        <f>'Ref. ACS-5-YR'!I94</f>
        <v>0.34217308425467025</v>
      </c>
      <c r="D119" s="16">
        <f>'Ref. ACS-5-YR'!R94</f>
        <v>42534</v>
      </c>
      <c r="E119" s="55">
        <f>'Ref. ACS-5-YR'!S94</f>
        <v>0.2727849927849928</v>
      </c>
      <c r="F119" s="16">
        <f>'Ref. ACS-5-YR'!AB94</f>
        <v>7688576</v>
      </c>
      <c r="G119" s="55">
        <f>'Ref. ACS-5-YR'!AC94</f>
        <v>0.19500000000000001</v>
      </c>
      <c r="I119" s="37"/>
    </row>
    <row r="120" spans="1:9" x14ac:dyDescent="0.3">
      <c r="A120" s="13" t="s">
        <v>234</v>
      </c>
      <c r="B120" s="16">
        <f>'Ref. ACS-5-YR'!H95</f>
        <v>67</v>
      </c>
      <c r="C120" s="55">
        <f>'Ref. ACS-5-YR'!I95</f>
        <v>1.0217308425467023E-3</v>
      </c>
      <c r="D120" s="16">
        <f>'Ref. ACS-5-YR'!R95</f>
        <v>151</v>
      </c>
      <c r="E120" s="55">
        <f>'Ref. ACS-5-YR'!S95</f>
        <v>9.6841430174763503E-4</v>
      </c>
      <c r="F120" s="16">
        <f>'Ref. ACS-5-YR'!AB95</f>
        <v>108591</v>
      </c>
      <c r="G120" s="55">
        <f>'Ref. ACS-5-YR'!AC95</f>
        <v>3.0000000000000001E-3</v>
      </c>
      <c r="I120" s="37"/>
    </row>
    <row r="121" spans="1:9" x14ac:dyDescent="0.3">
      <c r="A121" s="13" t="s">
        <v>235</v>
      </c>
      <c r="B121" s="16">
        <f>'Ref. ACS-5-YR'!H96</f>
        <v>512</v>
      </c>
      <c r="C121" s="55">
        <f>'Ref. ACS-5-YR'!I96</f>
        <v>7.8078536027449486E-3</v>
      </c>
      <c r="D121" s="16">
        <f>'Ref. ACS-5-YR'!R96</f>
        <v>1057</v>
      </c>
      <c r="E121" s="55">
        <f>'Ref. ACS-5-YR'!S96</f>
        <v>6.7789001122334457E-3</v>
      </c>
      <c r="F121" s="16">
        <f>'Ref. ACS-5-YR'!AB96</f>
        <v>179905</v>
      </c>
      <c r="G121" s="55">
        <f>'Ref. ACS-5-YR'!AC96</f>
        <v>5.0000000000000001E-3</v>
      </c>
      <c r="I121" s="37"/>
    </row>
    <row r="122" spans="1:9" x14ac:dyDescent="0.3">
      <c r="A122" s="13" t="s">
        <v>236</v>
      </c>
      <c r="B122" s="16">
        <f>'Ref. ACS-5-YR'!H97</f>
        <v>43</v>
      </c>
      <c r="C122" s="55">
        <f>'Ref. ACS-5-YR'!I97</f>
        <v>6.5573770491803279E-4</v>
      </c>
      <c r="D122" s="16">
        <f>'Ref. ACS-5-YR'!R97</f>
        <v>196</v>
      </c>
      <c r="E122" s="55">
        <f>'Ref. ACS-5-YR'!S97</f>
        <v>1.2570145903479236E-3</v>
      </c>
      <c r="F122" s="16">
        <f>'Ref. ACS-5-YR'!AB97</f>
        <v>90329</v>
      </c>
      <c r="G122" s="55">
        <f>'Ref. ACS-5-YR'!AC97</f>
        <v>2E-3</v>
      </c>
      <c r="I122" s="37"/>
    </row>
    <row r="123" spans="1:9" x14ac:dyDescent="0.3">
      <c r="A123" s="13" t="s">
        <v>237</v>
      </c>
      <c r="B123" s="16">
        <f>'Ref. ACS-5-YR'!H98</f>
        <v>0</v>
      </c>
      <c r="C123" s="55">
        <f>'Ref. ACS-5-YR'!I98</f>
        <v>0</v>
      </c>
      <c r="D123" s="16">
        <f>'Ref. ACS-5-YR'!R98</f>
        <v>32</v>
      </c>
      <c r="E123" s="55">
        <f>'Ref. ACS-5-YR'!S98</f>
        <v>2.0522687189353857E-4</v>
      </c>
      <c r="F123" s="16">
        <f>'Ref. ACS-5-YR'!AB98</f>
        <v>14112</v>
      </c>
      <c r="G123" s="55">
        <f>'Ref. ACS-5-YR'!AC98</f>
        <v>0</v>
      </c>
      <c r="I123" s="37"/>
    </row>
    <row r="124" spans="1:9" x14ac:dyDescent="0.3">
      <c r="A124" s="13" t="s">
        <v>238</v>
      </c>
      <c r="B124" s="16">
        <f>'Ref. ACS-5-YR'!H99</f>
        <v>23537</v>
      </c>
      <c r="C124" s="55">
        <f>'Ref. ACS-5-YR'!I99</f>
        <v>0.35893252001524972</v>
      </c>
      <c r="D124" s="16">
        <f>'Ref. ACS-5-YR'!R99</f>
        <v>38166</v>
      </c>
      <c r="E124" s="55">
        <f>'Ref. ACS-5-YR'!S99</f>
        <v>0.24477152477152478</v>
      </c>
      <c r="F124" s="16">
        <f>'Ref. ACS-5-YR'!AB99</f>
        <v>5499599</v>
      </c>
      <c r="G124" s="55">
        <f>'Ref. ACS-5-YR'!AC99</f>
        <v>0.14000000000000001</v>
      </c>
      <c r="I124" s="37"/>
    </row>
    <row r="125" spans="1:9" x14ac:dyDescent="0.3">
      <c r="A125" s="13" t="s">
        <v>239</v>
      </c>
      <c r="B125" s="16">
        <f>'Ref. ACS-5-YR'!H100</f>
        <v>4722</v>
      </c>
      <c r="C125" s="55">
        <f>'Ref. ACS-5-YR'!I100</f>
        <v>7.2009149828440713E-2</v>
      </c>
      <c r="D125" s="16">
        <f>'Ref. ACS-5-YR'!R100</f>
        <v>8822</v>
      </c>
      <c r="E125" s="55">
        <f>'Ref. ACS-5-YR'!S100</f>
        <v>5.6578483245149913E-2</v>
      </c>
      <c r="F125" s="16">
        <f>'Ref. ACS-5-YR'!AB100</f>
        <v>1799817</v>
      </c>
      <c r="G125" s="55">
        <f>'Ref. ACS-5-YR'!AC100</f>
        <v>4.5999999999999999E-2</v>
      </c>
      <c r="I125" s="37"/>
    </row>
    <row r="126" spans="1:9" x14ac:dyDescent="0.3">
      <c r="A126" s="13" t="s">
        <v>240</v>
      </c>
      <c r="B126" s="16">
        <f>'Ref. ACS-5-YR'!H101</f>
        <v>3805</v>
      </c>
      <c r="C126" s="55">
        <f>'Ref. ACS-5-YR'!I101</f>
        <v>5.8025162028211973E-2</v>
      </c>
      <c r="D126" s="16">
        <f>'Ref. ACS-5-YR'!R101</f>
        <v>6650</v>
      </c>
      <c r="E126" s="55">
        <f>'Ref. ACS-5-YR'!S101</f>
        <v>4.2648709315375982E-2</v>
      </c>
      <c r="F126" s="16">
        <f>'Ref. ACS-5-YR'!AB101</f>
        <v>1374229</v>
      </c>
      <c r="G126" s="55">
        <f>'Ref. ACS-5-YR'!AC101</f>
        <v>3.5000000000000003E-2</v>
      </c>
      <c r="I126" s="37"/>
    </row>
    <row r="127" spans="1:9" x14ac:dyDescent="0.3">
      <c r="A127" s="13" t="s">
        <v>241</v>
      </c>
      <c r="B127" s="16">
        <f>'Ref. ACS-5-YR'!H102</f>
        <v>917</v>
      </c>
      <c r="C127" s="55">
        <f>'Ref. ACS-5-YR'!I102</f>
        <v>1.3983987800228746E-2</v>
      </c>
      <c r="D127" s="16">
        <f>'Ref. ACS-5-YR'!R102</f>
        <v>2172</v>
      </c>
      <c r="E127" s="55">
        <f>'Ref. ACS-5-YR'!S102</f>
        <v>1.3929773929773929E-2</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43207</v>
      </c>
      <c r="C132" s="55"/>
      <c r="D132" s="16">
        <f>'Ref. DC-2010'!B18</f>
        <v>61416</v>
      </c>
      <c r="E132" s="55"/>
      <c r="F132" s="16">
        <f>B107</f>
        <v>65575</v>
      </c>
      <c r="G132" s="55"/>
      <c r="H132" s="270"/>
      <c r="I132" s="37"/>
    </row>
    <row r="133" spans="1:9" x14ac:dyDescent="0.3">
      <c r="A133" s="13" t="s">
        <v>246</v>
      </c>
      <c r="B133" s="16">
        <f>'Ref. DC-2000'!B27</f>
        <v>29274</v>
      </c>
      <c r="C133" s="55">
        <f>B133/B132</f>
        <v>0.67752910408035738</v>
      </c>
      <c r="D133" s="16">
        <f>'Ref. DC-2010'!B27</f>
        <v>47103</v>
      </c>
      <c r="E133" s="55">
        <f>D133/D132</f>
        <v>0.76694998046111762</v>
      </c>
      <c r="F133" s="16">
        <f>B118</f>
        <v>51319</v>
      </c>
      <c r="G133" s="55">
        <f>C118</f>
        <v>0.78260007624857031</v>
      </c>
      <c r="H133" s="270"/>
      <c r="I133" s="37"/>
    </row>
    <row r="134" spans="1:9" x14ac:dyDescent="0.3">
      <c r="A134" s="13" t="s">
        <v>232</v>
      </c>
      <c r="B134" s="16">
        <f>'Ref. DC-2000'!B19</f>
        <v>13933</v>
      </c>
      <c r="C134" s="55">
        <f>B134/B132</f>
        <v>0.32247089591964267</v>
      </c>
      <c r="D134" s="16">
        <f>'Ref. DC-2010'!B19</f>
        <v>14313</v>
      </c>
      <c r="E134" s="55">
        <f>D134/D132</f>
        <v>0.23305001953888238</v>
      </c>
      <c r="F134" s="16">
        <f>B108</f>
        <v>14256</v>
      </c>
      <c r="G134" s="55">
        <f>C108</f>
        <v>0.21739992375142966</v>
      </c>
      <c r="H134" s="270"/>
      <c r="I134" s="37"/>
    </row>
    <row r="135" spans="1:9" x14ac:dyDescent="0.3">
      <c r="A135" s="13" t="s">
        <v>233</v>
      </c>
      <c r="B135" s="16">
        <f>'Ref. DC-2000'!B20</f>
        <v>10859</v>
      </c>
      <c r="C135" s="55">
        <f>B135/B132</f>
        <v>0.25132501677968849</v>
      </c>
      <c r="D135" s="16">
        <f>'Ref. DC-2010'!B20</f>
        <v>10402</v>
      </c>
      <c r="E135" s="55">
        <f>D135/D132</f>
        <v>0.16936954539533672</v>
      </c>
      <c r="F135" s="16">
        <f t="shared" ref="F135:F143" si="3">B109</f>
        <v>9389</v>
      </c>
      <c r="G135" s="55">
        <f t="shared" ref="G135:G143" si="4">C109</f>
        <v>0.14317956538314908</v>
      </c>
      <c r="H135" s="270"/>
      <c r="I135" s="37"/>
    </row>
    <row r="136" spans="1:9" x14ac:dyDescent="0.3">
      <c r="A136" s="13" t="s">
        <v>234</v>
      </c>
      <c r="B136" s="16">
        <f>'Ref. DC-2000'!B21</f>
        <v>1426</v>
      </c>
      <c r="C136" s="55">
        <f>B136/B132</f>
        <v>3.3003911403244844E-2</v>
      </c>
      <c r="D136" s="16">
        <f>'Ref. DC-2010'!B21</f>
        <v>1661</v>
      </c>
      <c r="E136" s="55">
        <f>D136/D132</f>
        <v>2.7045069688680475E-2</v>
      </c>
      <c r="F136" s="16">
        <f t="shared" si="3"/>
        <v>2766</v>
      </c>
      <c r="G136" s="55">
        <f t="shared" si="4"/>
        <v>4.2180709111704157E-2</v>
      </c>
      <c r="H136" s="270"/>
      <c r="I136" s="37"/>
    </row>
    <row r="137" spans="1:9" x14ac:dyDescent="0.3">
      <c r="A137" s="13" t="s">
        <v>235</v>
      </c>
      <c r="B137" s="16">
        <f>'Ref. DC-2000'!B22</f>
        <v>370</v>
      </c>
      <c r="C137" s="55">
        <f>B137/B132</f>
        <v>8.563427222440809E-3</v>
      </c>
      <c r="D137" s="16">
        <f>'Ref. DC-2010'!B22</f>
        <v>335</v>
      </c>
      <c r="E137" s="55">
        <f>D137/D132</f>
        <v>5.4546046632799267E-3</v>
      </c>
      <c r="F137" s="16">
        <f t="shared" si="3"/>
        <v>171</v>
      </c>
      <c r="G137" s="55">
        <f t="shared" si="4"/>
        <v>2.6077011056042697E-3</v>
      </c>
      <c r="H137" s="270"/>
      <c r="I137" s="37"/>
    </row>
    <row r="138" spans="1:9" x14ac:dyDescent="0.3">
      <c r="A138" s="13" t="s">
        <v>236</v>
      </c>
      <c r="B138" s="16">
        <f>'Ref. DC-2000'!B23</f>
        <v>582</v>
      </c>
      <c r="C138" s="55">
        <f>B138/B132</f>
        <v>1.3470039576920407E-2</v>
      </c>
      <c r="D138" s="16">
        <f>'Ref. DC-2010'!B23</f>
        <v>1199</v>
      </c>
      <c r="E138" s="55">
        <f>D138/D132</f>
        <v>1.9522599973948156E-2</v>
      </c>
      <c r="F138" s="16">
        <f t="shared" si="3"/>
        <v>1035</v>
      </c>
      <c r="G138" s="55">
        <f t="shared" si="4"/>
        <v>1.578345406023637E-2</v>
      </c>
      <c r="H138" s="270"/>
      <c r="I138" s="37"/>
    </row>
    <row r="139" spans="1:9" x14ac:dyDescent="0.3">
      <c r="A139" s="13" t="s">
        <v>237</v>
      </c>
      <c r="B139" s="16">
        <f>'Ref. DC-2000'!B24</f>
        <v>30</v>
      </c>
      <c r="C139" s="55">
        <f>B139/B132</f>
        <v>6.9433193695466009E-4</v>
      </c>
      <c r="D139" s="16">
        <f>'Ref. DC-2010'!B24</f>
        <v>35</v>
      </c>
      <c r="E139" s="55">
        <f>D139/D132</f>
        <v>5.698840692979028E-4</v>
      </c>
      <c r="F139" s="16">
        <f t="shared" si="3"/>
        <v>70</v>
      </c>
      <c r="G139" s="55">
        <f t="shared" si="4"/>
        <v>1.067479984750286E-3</v>
      </c>
      <c r="H139" s="270"/>
      <c r="I139" s="37"/>
    </row>
    <row r="140" spans="1:9" x14ac:dyDescent="0.3">
      <c r="A140" s="13" t="s">
        <v>238</v>
      </c>
      <c r="B140" s="16">
        <f>'Ref. DC-2000'!B25</f>
        <v>51</v>
      </c>
      <c r="C140" s="55">
        <f>B140/B132</f>
        <v>1.1803642928229223E-3</v>
      </c>
      <c r="D140" s="16">
        <f>'Ref. DC-2010'!B25</f>
        <v>50</v>
      </c>
      <c r="E140" s="55">
        <f>D140/D132</f>
        <v>8.1412009899700405E-4</v>
      </c>
      <c r="F140" s="16">
        <f t="shared" si="3"/>
        <v>0</v>
      </c>
      <c r="G140" s="55">
        <f t="shared" si="4"/>
        <v>0</v>
      </c>
      <c r="H140" s="270"/>
      <c r="I140" s="37"/>
    </row>
    <row r="141" spans="1:9" x14ac:dyDescent="0.3">
      <c r="A141" s="13" t="s">
        <v>239</v>
      </c>
      <c r="B141" s="16">
        <f>'Ref. DC-2000'!B26</f>
        <v>615</v>
      </c>
      <c r="C141" s="55">
        <f>B141/B132</f>
        <v>1.4233804707570533E-2</v>
      </c>
      <c r="D141" s="16">
        <f>'Ref. DC-2010'!B26</f>
        <v>631</v>
      </c>
      <c r="E141" s="55">
        <f>D141/D132</f>
        <v>1.0274195649342191E-2</v>
      </c>
      <c r="F141" s="16">
        <f t="shared" si="3"/>
        <v>825</v>
      </c>
      <c r="G141" s="55">
        <f t="shared" si="4"/>
        <v>1.2581014105985514E-2</v>
      </c>
      <c r="H141" s="270"/>
      <c r="I141" s="37"/>
    </row>
    <row r="142" spans="1:9" x14ac:dyDescent="0.3">
      <c r="A142" s="13" t="s">
        <v>240</v>
      </c>
      <c r="B142" s="16"/>
      <c r="C142" s="55"/>
      <c r="D142" s="16"/>
      <c r="E142" s="55"/>
      <c r="F142" s="16">
        <f t="shared" si="3"/>
        <v>18</v>
      </c>
      <c r="G142" s="55">
        <f t="shared" si="4"/>
        <v>2.744948532215021E-4</v>
      </c>
      <c r="H142" s="270"/>
      <c r="I142" s="37"/>
    </row>
    <row r="143" spans="1:9" x14ac:dyDescent="0.3">
      <c r="A143" s="13" t="s">
        <v>241</v>
      </c>
      <c r="B143" s="16"/>
      <c r="C143" s="55"/>
      <c r="D143" s="16"/>
      <c r="E143" s="55"/>
      <c r="F143" s="16">
        <f t="shared" si="3"/>
        <v>807</v>
      </c>
      <c r="G143" s="55">
        <f t="shared" si="4"/>
        <v>1.2306519252764011E-2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29274</v>
      </c>
      <c r="C148" s="16">
        <f>D133</f>
        <v>47103</v>
      </c>
      <c r="D148" s="16">
        <f>'Ref. DC-2020'!B26</f>
        <v>53471</v>
      </c>
      <c r="I148" s="37"/>
    </row>
    <row r="149" spans="1:9" x14ac:dyDescent="0.3">
      <c r="A149" s="13" t="s">
        <v>250</v>
      </c>
      <c r="B149" s="16">
        <f>B135</f>
        <v>10859</v>
      </c>
      <c r="C149" s="16">
        <f>D135</f>
        <v>10402</v>
      </c>
      <c r="D149" s="16">
        <f>'Ref. DC-2020'!B19</f>
        <v>8075</v>
      </c>
      <c r="I149" s="37"/>
    </row>
    <row r="150" spans="1:9" x14ac:dyDescent="0.3">
      <c r="A150" s="13" t="s">
        <v>251</v>
      </c>
      <c r="B150" s="16">
        <f t="shared" ref="B150:B154" si="5">B136</f>
        <v>1426</v>
      </c>
      <c r="C150" s="16">
        <f t="shared" ref="C150:C155" si="6">D136</f>
        <v>1661</v>
      </c>
      <c r="D150" s="16">
        <f>'Ref. DC-2020'!B20</f>
        <v>1481</v>
      </c>
      <c r="I150" s="37"/>
    </row>
    <row r="151" spans="1:9" x14ac:dyDescent="0.3">
      <c r="A151" s="13" t="s">
        <v>252</v>
      </c>
      <c r="B151" s="16">
        <f t="shared" si="5"/>
        <v>370</v>
      </c>
      <c r="C151" s="16">
        <f t="shared" si="6"/>
        <v>335</v>
      </c>
      <c r="D151" s="16">
        <f>'Ref. DC-2020'!B21</f>
        <v>359</v>
      </c>
      <c r="I151" s="37"/>
    </row>
    <row r="152" spans="1:9" x14ac:dyDescent="0.3">
      <c r="A152" s="13" t="s">
        <v>253</v>
      </c>
      <c r="B152" s="16">
        <f t="shared" si="5"/>
        <v>582</v>
      </c>
      <c r="C152" s="16">
        <f t="shared" si="6"/>
        <v>1199</v>
      </c>
      <c r="D152" s="16">
        <f>'Ref. DC-2020'!B22</f>
        <v>1650</v>
      </c>
      <c r="I152" s="37"/>
    </row>
    <row r="153" spans="1:9" x14ac:dyDescent="0.3">
      <c r="A153" s="13" t="s">
        <v>254</v>
      </c>
      <c r="B153" s="16">
        <f t="shared" si="5"/>
        <v>30</v>
      </c>
      <c r="C153" s="16">
        <f t="shared" si="6"/>
        <v>35</v>
      </c>
      <c r="D153" s="16">
        <f>'Ref. DC-2020'!B23</f>
        <v>37</v>
      </c>
      <c r="I153" s="37"/>
    </row>
    <row r="154" spans="1:9" x14ac:dyDescent="0.3">
      <c r="A154" s="13" t="s">
        <v>255</v>
      </c>
      <c r="B154" s="16">
        <f t="shared" si="5"/>
        <v>51</v>
      </c>
      <c r="C154" s="16">
        <f t="shared" si="6"/>
        <v>50</v>
      </c>
      <c r="D154" s="16">
        <f>'Ref. DC-2020'!B24</f>
        <v>281</v>
      </c>
      <c r="I154" s="37"/>
    </row>
    <row r="155" spans="1:9" x14ac:dyDescent="0.3">
      <c r="A155" s="13" t="s">
        <v>256</v>
      </c>
      <c r="B155" s="16">
        <f>B141</f>
        <v>615</v>
      </c>
      <c r="C155" s="16">
        <f t="shared" si="6"/>
        <v>631</v>
      </c>
      <c r="D155" s="16">
        <f>'Ref. DC-2020'!B25</f>
        <v>870</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Madera</v>
      </c>
      <c r="C160" s="51" t="str">
        <f>B3</f>
        <v>City of Madera</v>
      </c>
      <c r="D160" s="51" t="str">
        <f>B4</f>
        <v>Madera County</v>
      </c>
      <c r="E160" s="51" t="str">
        <f>B4</f>
        <v>Madera County</v>
      </c>
      <c r="F160" s="51" t="s">
        <v>173</v>
      </c>
      <c r="G160" s="51" t="s">
        <v>173</v>
      </c>
      <c r="H160" s="269"/>
      <c r="I160" s="61" t="s">
        <v>258</v>
      </c>
    </row>
    <row r="161" spans="1:9" x14ac:dyDescent="0.3">
      <c r="A161" s="13" t="s">
        <v>180</v>
      </c>
      <c r="B161" s="16">
        <f>'Ref. ACS-5-YR'!H1535</f>
        <v>64757</v>
      </c>
      <c r="C161" s="55"/>
      <c r="D161" s="16">
        <f>'Ref. ACS-5-YR'!R1535</f>
        <v>147831</v>
      </c>
      <c r="E161" s="55"/>
      <c r="F161" s="16">
        <f>'Ref. ACS-5-YR'!AB1535</f>
        <v>38838726</v>
      </c>
      <c r="G161" s="55"/>
      <c r="H161" s="270"/>
      <c r="I161" s="37"/>
    </row>
    <row r="162" spans="1:9" x14ac:dyDescent="0.3">
      <c r="A162" s="13" t="s">
        <v>259</v>
      </c>
      <c r="B162" s="16">
        <f>'Ref. ACS-5-YR'!H1536</f>
        <v>21618</v>
      </c>
      <c r="C162" s="55">
        <f>'Ref. ACS-5-YR'!I1536</f>
        <v>0.33383263585403894</v>
      </c>
      <c r="D162" s="16">
        <f>'Ref. ACS-5-YR'!R1536</f>
        <v>42723</v>
      </c>
      <c r="E162" s="55">
        <f>'Ref. ACS-5-YR'!S1536</f>
        <v>0.28899892444751102</v>
      </c>
      <c r="F162" s="16">
        <f>'Ref. ACS-5-YR'!AB1536</f>
        <v>8942907</v>
      </c>
      <c r="G162" s="55">
        <f>'Ref. ACS-5-YR'!AC1536</f>
        <v>0.23</v>
      </c>
      <c r="H162" s="270"/>
      <c r="I162" s="37"/>
    </row>
    <row r="163" spans="1:9" x14ac:dyDescent="0.3">
      <c r="A163" s="13" t="s">
        <v>260</v>
      </c>
      <c r="B163" s="16">
        <f>'Ref. ACS-5-YR'!H1537</f>
        <v>760</v>
      </c>
      <c r="C163" s="55">
        <f>B163/B162</f>
        <v>3.5155888611342397E-2</v>
      </c>
      <c r="D163" s="16">
        <f>'Ref. ACS-5-YR'!R1537</f>
        <v>1359</v>
      </c>
      <c r="E163" s="55">
        <f>D163/D162</f>
        <v>3.1809563935116913E-2</v>
      </c>
      <c r="F163" s="16">
        <f>'Ref. ACS-5-YR'!AB1537</f>
        <v>207793</v>
      </c>
      <c r="G163" s="55">
        <f>F163/F162</f>
        <v>2.3235509437814796E-2</v>
      </c>
      <c r="H163" s="270"/>
      <c r="I163" s="37"/>
    </row>
    <row r="164" spans="1:9" x14ac:dyDescent="0.3">
      <c r="A164" s="13" t="s">
        <v>261</v>
      </c>
      <c r="B164" s="16">
        <f>'Ref. ACS-5-YR'!H1538</f>
        <v>137</v>
      </c>
      <c r="C164" s="55">
        <f>B164/B162</f>
        <v>6.3373114996761954E-3</v>
      </c>
      <c r="D164" s="16">
        <f>'Ref. ACS-5-YR'!R1538</f>
        <v>380</v>
      </c>
      <c r="E164" s="55">
        <f>D164/D162</f>
        <v>8.8945064719237882E-3</v>
      </c>
      <c r="F164" s="16">
        <f>'Ref. ACS-5-YR'!AB1538</f>
        <v>99013</v>
      </c>
      <c r="G164" s="55">
        <f>F164/F162</f>
        <v>1.1071679488560041E-2</v>
      </c>
      <c r="H164" s="270"/>
      <c r="I164" s="37"/>
    </row>
    <row r="165" spans="1:9" x14ac:dyDescent="0.3">
      <c r="A165" s="13" t="s">
        <v>262</v>
      </c>
      <c r="B165" s="16">
        <f>'Ref. ACS-5-YR'!H1539</f>
        <v>20721</v>
      </c>
      <c r="C165" s="55">
        <f>B165/B162</f>
        <v>0.95850679988898135</v>
      </c>
      <c r="D165" s="16">
        <f>'Ref. ACS-5-YR'!R1539</f>
        <v>40984</v>
      </c>
      <c r="E165" s="55">
        <f>D165/D162</f>
        <v>0.95929592959295928</v>
      </c>
      <c r="F165" s="16">
        <f>'Ref. ACS-5-YR'!AB1539</f>
        <v>8636101</v>
      </c>
      <c r="G165" s="55">
        <f>F165/F162</f>
        <v>0.96569281107362515</v>
      </c>
      <c r="H165" s="270"/>
      <c r="I165" s="37"/>
    </row>
    <row r="166" spans="1:9" x14ac:dyDescent="0.3">
      <c r="A166" s="13" t="s">
        <v>263</v>
      </c>
      <c r="B166" s="16">
        <f>'Ref. ACS-5-YR'!H1540</f>
        <v>37458</v>
      </c>
      <c r="C166" s="55">
        <f>'Ref. ACS-5-YR'!I1540</f>
        <v>0.57843939651311826</v>
      </c>
      <c r="D166" s="16">
        <f>'Ref. ACS-5-YR'!R1540</f>
        <v>83813</v>
      </c>
      <c r="E166" s="55">
        <f>'Ref. ACS-5-YR'!S1540</f>
        <v>0.56695145131941205</v>
      </c>
      <c r="F166" s="16">
        <f>'Ref. ACS-5-YR'!AB1540</f>
        <v>24347395</v>
      </c>
      <c r="G166" s="55">
        <f>'Ref. ACS-5-YR'!AC1540</f>
        <v>0.627</v>
      </c>
      <c r="H166" s="270"/>
      <c r="I166" s="37"/>
    </row>
    <row r="167" spans="1:9" x14ac:dyDescent="0.3">
      <c r="A167" s="13" t="s">
        <v>264</v>
      </c>
      <c r="B167" s="16">
        <f>'Ref. ACS-5-YR'!H1541</f>
        <v>2015</v>
      </c>
      <c r="C167" s="55">
        <f>B167/B166</f>
        <v>5.3793582145336111E-2</v>
      </c>
      <c r="D167" s="16">
        <f>'Ref. ACS-5-YR'!R1541</f>
        <v>5417</v>
      </c>
      <c r="E167" s="55">
        <f>D167/D166</f>
        <v>6.4631978332716888E-2</v>
      </c>
      <c r="F167" s="16">
        <f>'Ref. ACS-5-YR'!AB1541</f>
        <v>1077809</v>
      </c>
      <c r="G167" s="55">
        <f>F167/F166</f>
        <v>4.4267939136815253E-2</v>
      </c>
      <c r="H167" s="270"/>
      <c r="I167" s="37"/>
    </row>
    <row r="168" spans="1:9" x14ac:dyDescent="0.3">
      <c r="A168" s="13" t="s">
        <v>265</v>
      </c>
      <c r="B168" s="16">
        <f>'Ref. ACS-5-YR'!H1542</f>
        <v>2168</v>
      </c>
      <c r="C168" s="55">
        <f>B168/B166</f>
        <v>5.7878156869026642E-2</v>
      </c>
      <c r="D168" s="16">
        <f>'Ref. ACS-5-YR'!R1542</f>
        <v>4239</v>
      </c>
      <c r="E168" s="55">
        <f>D168/D166</f>
        <v>5.0576879481703314E-2</v>
      </c>
      <c r="F168" s="16">
        <f>'Ref. ACS-5-YR'!AB1542</f>
        <v>866771</v>
      </c>
      <c r="G168" s="55">
        <f>F168/F166</f>
        <v>3.560015352771826E-2</v>
      </c>
      <c r="H168" s="270"/>
      <c r="I168" s="37"/>
    </row>
    <row r="169" spans="1:9" x14ac:dyDescent="0.3">
      <c r="A169" s="13" t="s">
        <v>266</v>
      </c>
      <c r="B169" s="16">
        <f>'Ref. ACS-5-YR'!H1543</f>
        <v>33275</v>
      </c>
      <c r="C169" s="55">
        <f>B169/B166</f>
        <v>0.88832826098563722</v>
      </c>
      <c r="D169" s="16">
        <f>'Ref. ACS-5-YR'!R1543</f>
        <v>74157</v>
      </c>
      <c r="E169" s="55">
        <f>D169/D166</f>
        <v>0.88479114218557975</v>
      </c>
      <c r="F169" s="16">
        <f>'Ref. ACS-5-YR'!AB1543</f>
        <v>22402815</v>
      </c>
      <c r="G169" s="55">
        <f>F169/F166</f>
        <v>0.92013190733546646</v>
      </c>
      <c r="H169" s="270"/>
      <c r="I169" s="37"/>
    </row>
    <row r="170" spans="1:9" x14ac:dyDescent="0.3">
      <c r="A170" s="13" t="s">
        <v>267</v>
      </c>
      <c r="B170" s="16">
        <f>'Ref. ACS-5-YR'!H1544</f>
        <v>5681</v>
      </c>
      <c r="C170" s="55">
        <f>'Ref. ACS-5-YR'!I1544</f>
        <v>8.7727967632842782E-2</v>
      </c>
      <c r="D170" s="16">
        <f>'Ref. ACS-5-YR'!R1544</f>
        <v>21295</v>
      </c>
      <c r="E170" s="55">
        <f>'Ref. ACS-5-YR'!S1544</f>
        <v>0.14404962423307696</v>
      </c>
      <c r="F170" s="16">
        <f>'Ref. ACS-5-YR'!AB1544</f>
        <v>5548424</v>
      </c>
      <c r="G170" s="55">
        <f>'Ref. ACS-5-YR'!AC1544</f>
        <v>0.14299999999999999</v>
      </c>
      <c r="H170" s="270"/>
      <c r="I170" s="37"/>
    </row>
    <row r="171" spans="1:9" x14ac:dyDescent="0.3">
      <c r="A171" s="13" t="s">
        <v>268</v>
      </c>
      <c r="B171" s="16">
        <f>'Ref. ACS-5-YR'!H1545</f>
        <v>1073</v>
      </c>
      <c r="C171" s="55">
        <f>B171/B170</f>
        <v>0.1888751980285161</v>
      </c>
      <c r="D171" s="16">
        <f>'Ref. ACS-5-YR'!R1545</f>
        <v>4271</v>
      </c>
      <c r="E171" s="55">
        <f>D171/D170</f>
        <v>0.20056351256163418</v>
      </c>
      <c r="F171" s="16">
        <f>'Ref. ACS-5-YR'!AB1545</f>
        <v>803463</v>
      </c>
      <c r="G171" s="55">
        <f>F171/F170</f>
        <v>0.14480922871071136</v>
      </c>
      <c r="H171" s="270"/>
      <c r="I171" s="37"/>
    </row>
    <row r="172" spans="1:9" x14ac:dyDescent="0.3">
      <c r="A172" s="13" t="s">
        <v>269</v>
      </c>
      <c r="B172" s="16">
        <f>'Ref. ACS-5-YR'!H1546</f>
        <v>1505</v>
      </c>
      <c r="C172" s="55">
        <f>B172/B170</f>
        <v>0.2649181482133427</v>
      </c>
      <c r="D172" s="16">
        <f>'Ref. ACS-5-YR'!R1546</f>
        <v>4199</v>
      </c>
      <c r="E172" s="55">
        <f>D172/D170</f>
        <v>0.19718243719182907</v>
      </c>
      <c r="F172" s="16">
        <f>'Ref. ACS-5-YR'!AB1546</f>
        <v>1092102</v>
      </c>
      <c r="G172" s="55">
        <f>F172/F170</f>
        <v>0.19683102805409247</v>
      </c>
      <c r="H172" s="270"/>
      <c r="I172"/>
    </row>
    <row r="173" spans="1:9" x14ac:dyDescent="0.3">
      <c r="A173" s="13" t="s">
        <v>270</v>
      </c>
      <c r="B173" s="16">
        <f>'Ref. ACS-5-YR'!H1547</f>
        <v>3103</v>
      </c>
      <c r="C173" s="55">
        <f>B173/B170</f>
        <v>0.54620665375814115</v>
      </c>
      <c r="D173" s="16">
        <f>'Ref. ACS-5-YR'!R1547</f>
        <v>12825</v>
      </c>
      <c r="E173" s="55">
        <f>D173/D170</f>
        <v>0.60225405024653678</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Madera</v>
      </c>
      <c r="C180" s="51" t="s">
        <v>179</v>
      </c>
      <c r="D180" s="51" t="str">
        <f>B4</f>
        <v>Madera County</v>
      </c>
      <c r="E180" s="51" t="s">
        <v>179</v>
      </c>
      <c r="F180" s="51" t="s">
        <v>173</v>
      </c>
      <c r="G180" s="51" t="s">
        <v>179</v>
      </c>
      <c r="H180" s="271"/>
      <c r="I180" s="61" t="s">
        <v>273</v>
      </c>
    </row>
    <row r="181" spans="1:9" x14ac:dyDescent="0.3">
      <c r="A181" s="13" t="s">
        <v>180</v>
      </c>
      <c r="B181" s="16">
        <f>B161</f>
        <v>64757</v>
      </c>
      <c r="C181" s="55"/>
      <c r="D181" s="16">
        <f>D161</f>
        <v>147831</v>
      </c>
      <c r="E181" s="55"/>
      <c r="F181" s="16">
        <f>F161</f>
        <v>38838726</v>
      </c>
      <c r="G181" s="55"/>
      <c r="H181" s="270"/>
    </row>
    <row r="182" spans="1:9" x14ac:dyDescent="0.3">
      <c r="A182" s="13" t="s">
        <v>274</v>
      </c>
      <c r="B182" s="16">
        <f t="shared" ref="B182:F182" si="7">SUM(B163,B167,B171)</f>
        <v>3848</v>
      </c>
      <c r="C182" s="55">
        <f>B182/$B$181</f>
        <v>5.9422147412634928E-2</v>
      </c>
      <c r="D182" s="16">
        <f t="shared" si="7"/>
        <v>11047</v>
      </c>
      <c r="E182" s="55">
        <f>D182/$D$181</f>
        <v>7.4727222301141163E-2</v>
      </c>
      <c r="F182" s="16">
        <f t="shared" si="7"/>
        <v>2089065</v>
      </c>
      <c r="G182" s="55">
        <f>F182/$F$181</f>
        <v>5.3788195833200089E-2</v>
      </c>
      <c r="H182" s="270"/>
    </row>
    <row r="183" spans="1:9" x14ac:dyDescent="0.3">
      <c r="A183" s="13" t="s">
        <v>275</v>
      </c>
      <c r="B183" s="16">
        <f t="shared" ref="B183:D184" si="8">SUM(B164,B168,B172)</f>
        <v>3810</v>
      </c>
      <c r="C183" s="55">
        <f t="shared" ref="C183:C184" si="9">B183/$B$181</f>
        <v>5.8835338264589157E-2</v>
      </c>
      <c r="D183" s="16">
        <f t="shared" si="8"/>
        <v>8818</v>
      </c>
      <c r="E183" s="55">
        <f t="shared" ref="E183:E184" si="10">D183/$D$181</f>
        <v>5.9649194012081366E-2</v>
      </c>
      <c r="F183" s="16">
        <f t="shared" ref="F183" si="11">SUM(F164,F168,F172)</f>
        <v>2057886</v>
      </c>
      <c r="G183" s="55">
        <f t="shared" ref="G183:G184" si="12">F183/$F$181</f>
        <v>5.2985414609119777E-2</v>
      </c>
      <c r="H183" s="270"/>
    </row>
    <row r="184" spans="1:9" x14ac:dyDescent="0.3">
      <c r="A184" s="13" t="s">
        <v>276</v>
      </c>
      <c r="B184" s="16">
        <f t="shared" si="8"/>
        <v>57099</v>
      </c>
      <c r="C184" s="55">
        <f t="shared" si="9"/>
        <v>0.88174251432277595</v>
      </c>
      <c r="D184" s="16">
        <f t="shared" si="8"/>
        <v>127966</v>
      </c>
      <c r="E184" s="55">
        <f t="shared" si="10"/>
        <v>0.8656235836867775</v>
      </c>
      <c r="F184" s="16">
        <f t="shared" ref="F184" si="13">SUM(F165,F169,F173)</f>
        <v>34691775</v>
      </c>
      <c r="G184" s="55">
        <f t="shared" si="12"/>
        <v>0.89322638955768019</v>
      </c>
      <c r="H184" s="270"/>
    </row>
    <row r="185" spans="1:9" x14ac:dyDescent="0.3">
      <c r="A185" s="47" t="s">
        <v>271</v>
      </c>
    </row>
    <row r="188" spans="1:9" x14ac:dyDescent="0.3">
      <c r="A188" s="1" t="s">
        <v>277</v>
      </c>
    </row>
    <row r="189" spans="1:9" ht="28.8" x14ac:dyDescent="0.3">
      <c r="A189" s="48" t="s">
        <v>172</v>
      </c>
      <c r="B189" s="51" t="str">
        <f>B3</f>
        <v>City of Madera</v>
      </c>
      <c r="C189" s="60" t="s">
        <v>179</v>
      </c>
      <c r="D189" s="51" t="str">
        <f>B4</f>
        <v>Madera County</v>
      </c>
      <c r="E189" s="60" t="s">
        <v>179</v>
      </c>
      <c r="F189" s="59" t="s">
        <v>173</v>
      </c>
      <c r="G189" s="60" t="s">
        <v>179</v>
      </c>
      <c r="H189" s="271"/>
    </row>
    <row r="190" spans="1:9" x14ac:dyDescent="0.3">
      <c r="A190" s="13" t="s">
        <v>278</v>
      </c>
      <c r="B190" s="16">
        <f>B182+B183</f>
        <v>7658</v>
      </c>
      <c r="C190" s="55"/>
      <c r="D190" s="16">
        <f>D182+D183</f>
        <v>19865</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2343</v>
      </c>
      <c r="C191" s="55">
        <f>B191/B190</f>
        <v>0.3059545573256725</v>
      </c>
      <c r="D191" s="16">
        <f>'Ref. ACS-5-YR'!R1316+'Ref. ACS-5-YR'!R1319+'Ref. ACS-5-YR'!R1322+'Ref. ACS-5-YR'!R1325+'Ref. ACS-5-YR'!R1328+'Ref. ACS-5-YR'!R1331+'Ref. ACS-5-YR'!R1335+'Ref. ACS-5-YR'!R1338+'Ref. ACS-5-YR'!R1341+'Ref. ACS-5-YR'!R1344+'Ref. ACS-5-YR'!R1347+'Ref. ACS-5-YR'!R1350</f>
        <v>6684</v>
      </c>
      <c r="E191" s="55">
        <f>D191/D190</f>
        <v>0.3364711804681601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2017</v>
      </c>
      <c r="C192" s="55">
        <f>B192/B190</f>
        <v>0.26338469574301382</v>
      </c>
      <c r="D192" s="16">
        <f>'Ref. ACS-5-YR'!R1358+'Ref. ACS-5-YR'!R1361+'Ref. ACS-5-YR'!R1364+'Ref. ACS-5-YR'!R1367+'Ref. ACS-5-YR'!R1370+'Ref. ACS-5-YR'!R1373+'Ref. ACS-5-YR'!R1377+'Ref. ACS-5-YR'!R1380+'Ref. ACS-5-YR'!R1383+'Ref. ACS-5-YR'!R1386+'Ref. ACS-5-YR'!R1389+'Ref. ACS-5-YR'!R1392</f>
        <v>3821</v>
      </c>
      <c r="E192" s="55">
        <f>D192/D190</f>
        <v>0.19234835137175937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3068</v>
      </c>
      <c r="C193" s="55">
        <f>B193/B190</f>
        <v>0.40062679550796554</v>
      </c>
      <c r="D193" s="16">
        <f>SUM('Ref. ACS-5-YR'!R1400,'Ref. ACS-5-YR'!R1403,'Ref. ACS-5-YR'!R1406,'Ref. ACS-5-YR'!R1409,'Ref. ACS-5-YR'!R1412,'Ref. ACS-5-YR'!R1416+'Ref. ACS-5-YR'!R1419,'Ref. ACS-5-YR'!R1422,'Ref. ACS-5-YR'!R1425,'Ref. ACS-5-YR'!R1428)</f>
        <v>6699</v>
      </c>
      <c r="E193" s="55">
        <f>D193/D190</f>
        <v>0.33722627737226279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3807</v>
      </c>
      <c r="C194" s="55">
        <f>B194/B190</f>
        <v>0.49712718725515803</v>
      </c>
      <c r="D194" s="16">
        <f>SUM('Ref. ACS-5-YR'!R1436,'Ref. ACS-5-YR'!R1439,'Ref. ACS-5-YR'!R1442,'Ref. ACS-5-YR'!R1445,'Ref. ACS-5-YR'!R1448,'Ref. ACS-5-YR'!R1452,'Ref. ACS-5-YR'!R1455,'Ref. ACS-5-YR'!R1458,'Ref. ACS-5-YR'!R1461,'Ref. ACS-5-YR'!R1464)</f>
        <v>9927</v>
      </c>
      <c r="E194" s="55">
        <f>D194/D190</f>
        <v>0.49972313113516237</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1179</v>
      </c>
      <c r="C195" s="55">
        <f>B195/B190</f>
        <v>0.15395664664403239</v>
      </c>
      <c r="D195" s="16">
        <f>SUM('Ref. ACS-5-YR'!R1472,'Ref. ACS-5-YR'!R1475,'Ref. ACS-5-YR'!R1478,'Ref. ACS-5-YR'!R1481,'Ref. ACS-5-YR'!R1484,'Ref. ACS-5-YR'!R1488,'Ref. ACS-5-YR'!R1491,'Ref. ACS-5-YR'!R1494,'Ref. ACS-5-YR'!R1497,'Ref. ACS-5-YR'!R1500)</f>
        <v>3006</v>
      </c>
      <c r="E195" s="55">
        <f>D195/D190</f>
        <v>0.15132141958217971</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2762</v>
      </c>
      <c r="C196" s="55">
        <f>B196/B190</f>
        <v>0.36066858187516321</v>
      </c>
      <c r="D196" s="16">
        <f>SUM('Ref. ACS-5-YR'!R1508,'Ref. ACS-5-YR'!R1511,'Ref. ACS-5-YR'!R1514,'Ref. ACS-5-YR'!R1517,'Ref. ACS-5-YR'!R1521,'Ref. ACS-5-YR'!R1524,'Ref. ACS-5-YR'!R1527,'Ref. ACS-5-YR'!R1530)</f>
        <v>6329</v>
      </c>
      <c r="E196" s="55">
        <f>D196/D190</f>
        <v>0.31860055373772966</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ht="28.8" x14ac:dyDescent="0.3">
      <c r="A200" s="48"/>
      <c r="B200" s="51" t="str">
        <f>B3</f>
        <v>City of Madera</v>
      </c>
      <c r="C200" s="51" t="str">
        <f>B4</f>
        <v>Madera County</v>
      </c>
      <c r="D200" s="51" t="s">
        <v>287</v>
      </c>
    </row>
    <row r="201" spans="1:9" x14ac:dyDescent="0.3">
      <c r="A201" s="13" t="s">
        <v>288</v>
      </c>
      <c r="B201" s="16">
        <f>VLOOKUP(Population!B211,'Ref. DDS_Pivot'!A$2:K$465,5,FALSE)</f>
        <v>957</v>
      </c>
      <c r="C201" s="16">
        <f>VLOOKUP(C211,'Ref. DDS_Pivot'!A$467:K$527,5,FALSE)</f>
        <v>1348</v>
      </c>
      <c r="D201" s="16">
        <v>309381</v>
      </c>
      <c r="I201" s="61" t="s">
        <v>2505</v>
      </c>
    </row>
    <row r="202" spans="1:9" x14ac:dyDescent="0.3">
      <c r="A202" s="13" t="s">
        <v>289</v>
      </c>
      <c r="B202" s="16">
        <f>VLOOKUP(Population!B211,'Ref. DDS_Pivot'!A$2:K$465,6,FALSE)</f>
        <v>77</v>
      </c>
      <c r="C202" s="16">
        <f>VLOOKUP(C211,'Ref. DDS_Pivot'!A$467:K$527,6,FALSE)</f>
        <v>108</v>
      </c>
      <c r="D202" s="16">
        <v>27881</v>
      </c>
      <c r="I202" s="37"/>
    </row>
    <row r="203" spans="1:9" x14ac:dyDescent="0.3">
      <c r="A203" s="13" t="s">
        <v>290</v>
      </c>
      <c r="B203" s="16">
        <f>VLOOKUP(Population!B211,'Ref. DDS_Pivot'!A$2:K$465,7,FALSE)</f>
        <v>39</v>
      </c>
      <c r="C203" s="16">
        <f>VLOOKUP(C211,'Ref. DDS_Pivot'!A$467:K$527,7,FALSE)</f>
        <v>49</v>
      </c>
      <c r="D203" s="16">
        <v>23728</v>
      </c>
      <c r="I203" s="37"/>
    </row>
    <row r="204" spans="1:9" x14ac:dyDescent="0.3">
      <c r="A204" s="13" t="s">
        <v>291</v>
      </c>
      <c r="B204" s="16">
        <f>VLOOKUP(Population!B211,'Ref. DDS_Pivot'!A$2:K$465,8,FALSE)</f>
        <v>35</v>
      </c>
      <c r="C204" s="16">
        <f>VLOOKUP(C211,'Ref. DDS_Pivot'!A$467:K$527,8,FALSE)</f>
        <v>35</v>
      </c>
      <c r="D204" s="16">
        <v>6188</v>
      </c>
      <c r="I204" s="37"/>
    </row>
    <row r="205" spans="1:9" x14ac:dyDescent="0.3">
      <c r="A205" s="13" t="s">
        <v>292</v>
      </c>
      <c r="B205" s="16">
        <f>VLOOKUP(Population!B211,'Ref. DDS_Pivot'!A$2:K$465,9,FALSE)</f>
        <v>10</v>
      </c>
      <c r="C205" s="16">
        <f>VLOOKUP(C211,'Ref. DDS_Pivot'!A$467:K$527,9,FALSE)</f>
        <v>25</v>
      </c>
      <c r="D205" s="16">
        <v>8288</v>
      </c>
      <c r="I205" s="37"/>
    </row>
    <row r="206" spans="1:9" x14ac:dyDescent="0.3">
      <c r="A206" s="13" t="s">
        <v>293</v>
      </c>
      <c r="B206" s="16">
        <f>VLOOKUP(Population!B211,'Ref. DDS_Pivot'!A$2:K$465,10,FALSE)</f>
        <v>10</v>
      </c>
      <c r="C206" s="16">
        <f>VLOOKUP(C211,'Ref. DDS_Pivot'!A$467:K$527,10,FALSE)</f>
        <v>15</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Madera</v>
      </c>
      <c r="C211" s="51" t="str">
        <f>B4</f>
        <v>Madera County</v>
      </c>
      <c r="D211" s="51" t="s">
        <v>287</v>
      </c>
      <c r="I211" s="37"/>
    </row>
    <row r="212" spans="1:9" x14ac:dyDescent="0.3">
      <c r="A212" s="13" t="s">
        <v>295</v>
      </c>
      <c r="B212" s="16">
        <f>VLOOKUP(Population!B211,'Ref. DDS_Pivot'!A$2:K$465,3,FALSE)</f>
        <v>613</v>
      </c>
      <c r="C212" s="16">
        <f>VLOOKUP(C211,'Ref. DDS_Pivot'!A$467:K$527,3,FALSE)</f>
        <v>855</v>
      </c>
      <c r="D212" s="16">
        <v>192384</v>
      </c>
      <c r="I212" s="37"/>
    </row>
    <row r="213" spans="1:9" x14ac:dyDescent="0.3">
      <c r="A213" s="13" t="s">
        <v>296</v>
      </c>
      <c r="B213" s="16">
        <f>VLOOKUP(Population!B211,'Ref. DDS_Pivot'!A$2:K$465,4,FALSE)</f>
        <v>513</v>
      </c>
      <c r="C213" s="16">
        <f>VLOOKUP(C211,'Ref. DDS_Pivot'!A$467:K$527,4,FALSE)</f>
        <v>715</v>
      </c>
      <c r="D213" s="16">
        <v>185353</v>
      </c>
      <c r="I213" s="37"/>
    </row>
    <row r="214" spans="1:9" x14ac:dyDescent="0.3">
      <c r="A214" s="13" t="s">
        <v>170</v>
      </c>
      <c r="B214" s="16">
        <f>SUM(B212:B213)</f>
        <v>1126</v>
      </c>
      <c r="C214" s="16">
        <f>SUM(C212:C213)</f>
        <v>1570</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21267</v>
      </c>
      <c r="C220" s="115">
        <f t="shared" ref="C220:C233" si="14">B220/$B$220</f>
        <v>1</v>
      </c>
      <c r="D220" s="16">
        <f>'Ref. ACS-5-YR Add.'!E62</f>
        <v>24129</v>
      </c>
      <c r="E220" s="115">
        <f t="shared" ref="E220:E233" si="15">D220/$D$220</f>
        <v>1</v>
      </c>
      <c r="F220" s="16">
        <f>'Ref. ACS-5-YR Add.'!H62</f>
        <v>25692</v>
      </c>
      <c r="G220" s="115">
        <f t="shared" ref="G220:G233" si="16">F220/$F$220</f>
        <v>1</v>
      </c>
      <c r="I220" s="37"/>
    </row>
    <row r="221" spans="1:9" x14ac:dyDescent="0.3">
      <c r="A221" s="13" t="s">
        <v>298</v>
      </c>
      <c r="B221" s="16">
        <f>'Ref. ACS-5-YR Add.'!B63</f>
        <v>4878</v>
      </c>
      <c r="C221" s="115">
        <f t="shared" si="14"/>
        <v>0.2293694456199746</v>
      </c>
      <c r="D221" s="16">
        <f>'Ref. ACS-5-YR Add.'!E63</f>
        <v>6958</v>
      </c>
      <c r="E221" s="115">
        <f t="shared" si="15"/>
        <v>0.28836669567740064</v>
      </c>
      <c r="F221" s="16">
        <f>'Ref. ACS-5-YR Add.'!H63</f>
        <v>5565</v>
      </c>
      <c r="G221" s="115">
        <f t="shared" si="16"/>
        <v>0.21660439047174218</v>
      </c>
      <c r="I221" s="37"/>
    </row>
    <row r="222" spans="1:9" x14ac:dyDescent="0.3">
      <c r="A222" s="13" t="s">
        <v>299</v>
      </c>
      <c r="B222" s="16">
        <f>'Ref. ACS-5-YR Add.'!B64</f>
        <v>1071</v>
      </c>
      <c r="C222" s="115">
        <f t="shared" si="14"/>
        <v>5.0359712230215826E-2</v>
      </c>
      <c r="D222" s="16">
        <f>'Ref. ACS-5-YR Add.'!E64</f>
        <v>1022</v>
      </c>
      <c r="E222" s="115">
        <f t="shared" si="15"/>
        <v>4.2355671598491441E-2</v>
      </c>
      <c r="F222" s="16">
        <f>'Ref. ACS-5-YR Add.'!H64</f>
        <v>1871</v>
      </c>
      <c r="G222" s="115">
        <f t="shared" si="16"/>
        <v>7.2824225439825627E-2</v>
      </c>
      <c r="I222" s="37"/>
    </row>
    <row r="223" spans="1:9" x14ac:dyDescent="0.3">
      <c r="A223" s="13" t="s">
        <v>300</v>
      </c>
      <c r="B223" s="16">
        <f>'Ref. ACS-5-YR Add.'!B65</f>
        <v>2120</v>
      </c>
      <c r="C223" s="115">
        <f t="shared" si="14"/>
        <v>9.9684957916020125E-2</v>
      </c>
      <c r="D223" s="16">
        <f>'Ref. ACS-5-YR Add.'!E65</f>
        <v>2310</v>
      </c>
      <c r="E223" s="115">
        <f t="shared" si="15"/>
        <v>9.5735422106179288E-2</v>
      </c>
      <c r="F223" s="16">
        <f>'Ref. ACS-5-YR Add.'!H65</f>
        <v>2209</v>
      </c>
      <c r="G223" s="115">
        <f t="shared" si="16"/>
        <v>8.5980071617624165E-2</v>
      </c>
      <c r="I223" s="37"/>
    </row>
    <row r="224" spans="1:9" x14ac:dyDescent="0.3">
      <c r="A224" s="13" t="s">
        <v>301</v>
      </c>
      <c r="B224" s="16">
        <f>'Ref. ACS-5-YR Add.'!B66</f>
        <v>458</v>
      </c>
      <c r="C224" s="115">
        <f t="shared" si="14"/>
        <v>2.1535712606385479E-2</v>
      </c>
      <c r="D224" s="16">
        <f>'Ref. ACS-5-YR Add.'!E66</f>
        <v>426</v>
      </c>
      <c r="E224" s="115">
        <f t="shared" si="15"/>
        <v>1.7655103816983712E-2</v>
      </c>
      <c r="F224" s="16">
        <f>'Ref. ACS-5-YR Add.'!H66</f>
        <v>692</v>
      </c>
      <c r="G224" s="115">
        <f t="shared" si="16"/>
        <v>2.6934454304841975E-2</v>
      </c>
      <c r="I224" s="37"/>
    </row>
    <row r="225" spans="1:9" x14ac:dyDescent="0.3">
      <c r="A225" s="13" t="s">
        <v>302</v>
      </c>
      <c r="B225" s="16">
        <f>'Ref. ACS-5-YR Add.'!B67</f>
        <v>2260</v>
      </c>
      <c r="C225" s="115">
        <f t="shared" si="14"/>
        <v>0.10626792683500258</v>
      </c>
      <c r="D225" s="16">
        <f>'Ref. ACS-5-YR Add.'!E67</f>
        <v>2685</v>
      </c>
      <c r="E225" s="115">
        <f t="shared" si="15"/>
        <v>0.1112768867338058</v>
      </c>
      <c r="F225" s="16">
        <f>'Ref. ACS-5-YR Add.'!H67</f>
        <v>2480</v>
      </c>
      <c r="G225" s="115">
        <f t="shared" si="16"/>
        <v>9.6528102132959676E-2</v>
      </c>
    </row>
    <row r="226" spans="1:9" x14ac:dyDescent="0.3">
      <c r="A226" s="13" t="s">
        <v>303</v>
      </c>
      <c r="B226" s="16">
        <f>'Ref. ACS-5-YR Add.'!B68</f>
        <v>1058</v>
      </c>
      <c r="C226" s="115">
        <f t="shared" si="14"/>
        <v>4.9748436544881744E-2</v>
      </c>
      <c r="D226" s="16">
        <f>'Ref. ACS-5-YR Add.'!E68</f>
        <v>987</v>
      </c>
      <c r="E226" s="115">
        <f t="shared" si="15"/>
        <v>4.0905134899912966E-2</v>
      </c>
      <c r="F226" s="16">
        <f>'Ref. ACS-5-YR Add.'!H68</f>
        <v>1180</v>
      </c>
      <c r="G226" s="115">
        <f t="shared" si="16"/>
        <v>4.592869375681146E-2</v>
      </c>
    </row>
    <row r="227" spans="1:9" x14ac:dyDescent="0.3">
      <c r="A227" s="13" t="s">
        <v>304</v>
      </c>
      <c r="B227" s="16">
        <f>'Ref. ACS-5-YR Add.'!B69</f>
        <v>182</v>
      </c>
      <c r="C227" s="115">
        <f t="shared" si="14"/>
        <v>8.5578595946771991E-3</v>
      </c>
      <c r="D227" s="16">
        <f>'Ref. ACS-5-YR Add.'!E69</f>
        <v>221</v>
      </c>
      <c r="E227" s="115">
        <f t="shared" si="15"/>
        <v>9.159103153881222E-3</v>
      </c>
      <c r="F227" s="16">
        <f>'Ref. ACS-5-YR Add.'!H69</f>
        <v>131</v>
      </c>
      <c r="G227" s="115">
        <f t="shared" si="16"/>
        <v>5.0988634594426284E-3</v>
      </c>
      <c r="H227" s="271"/>
    </row>
    <row r="228" spans="1:9" x14ac:dyDescent="0.3">
      <c r="A228" s="13" t="s">
        <v>305</v>
      </c>
      <c r="B228" s="16">
        <f>'Ref. ACS-5-YR Add.'!B70</f>
        <v>660</v>
      </c>
      <c r="C228" s="115">
        <f t="shared" si="14"/>
        <v>3.1033996332345888E-2</v>
      </c>
      <c r="D228" s="16">
        <f>'Ref. ACS-5-YR Add.'!E70</f>
        <v>424</v>
      </c>
      <c r="E228" s="115">
        <f t="shared" si="15"/>
        <v>1.7572216005636371E-2</v>
      </c>
      <c r="F228" s="16">
        <f>'Ref. ACS-5-YR Add.'!H70</f>
        <v>1384</v>
      </c>
      <c r="G228" s="115">
        <f t="shared" si="16"/>
        <v>5.3868908609683949E-2</v>
      </c>
      <c r="H228" s="270"/>
    </row>
    <row r="229" spans="1:9" x14ac:dyDescent="0.3">
      <c r="A229" s="13" t="s">
        <v>306</v>
      </c>
      <c r="B229" s="16">
        <f>'Ref. ACS-5-YR Add.'!B71</f>
        <v>980</v>
      </c>
      <c r="C229" s="115">
        <f t="shared" si="14"/>
        <v>4.6080782432877228E-2</v>
      </c>
      <c r="D229" s="16">
        <f>'Ref. ACS-5-YR Add.'!E71</f>
        <v>1191</v>
      </c>
      <c r="E229" s="115">
        <f t="shared" si="15"/>
        <v>4.9359691657341789E-2</v>
      </c>
      <c r="F229" s="16">
        <f>'Ref. ACS-5-YR Add.'!H71</f>
        <v>1861</v>
      </c>
      <c r="G229" s="115">
        <f t="shared" si="16"/>
        <v>7.2434999221547558E-2</v>
      </c>
      <c r="H229" s="270"/>
      <c r="I229" s="42" t="str">
        <f>A234</f>
        <v>Source: U.S. Census Bureau, ACS16-20 (5-year Estimates), Table C24050.</v>
      </c>
    </row>
    <row r="230" spans="1:9" x14ac:dyDescent="0.3">
      <c r="A230" s="13" t="s">
        <v>307</v>
      </c>
      <c r="B230" s="16">
        <f>'Ref. ACS-5-YR Add.'!B72</f>
        <v>3978</v>
      </c>
      <c r="C230" s="115">
        <f t="shared" si="14"/>
        <v>0.18705035971223022</v>
      </c>
      <c r="D230" s="16">
        <f>'Ref. ACS-5-YR Add.'!E72</f>
        <v>4272</v>
      </c>
      <c r="E230" s="115">
        <f t="shared" si="15"/>
        <v>0.17704836503792118</v>
      </c>
      <c r="F230" s="16">
        <f>'Ref. ACS-5-YR Add.'!H72</f>
        <v>4958</v>
      </c>
      <c r="G230" s="115">
        <f t="shared" si="16"/>
        <v>0.19297835902226373</v>
      </c>
      <c r="H230" s="270"/>
      <c r="I230" s="289" t="s">
        <v>2507</v>
      </c>
    </row>
    <row r="231" spans="1:9" x14ac:dyDescent="0.3">
      <c r="A231" s="13" t="s">
        <v>308</v>
      </c>
      <c r="B231" s="16">
        <f>'Ref. ACS-5-YR Add.'!B73</f>
        <v>1334</v>
      </c>
      <c r="C231" s="115">
        <f t="shared" si="14"/>
        <v>6.2726289556590029E-2</v>
      </c>
      <c r="D231" s="16">
        <f>'Ref. ACS-5-YR Add.'!E73</f>
        <v>1618</v>
      </c>
      <c r="E231" s="115">
        <f t="shared" si="15"/>
        <v>6.7056239379999175E-2</v>
      </c>
      <c r="F231" s="16">
        <f>'Ref. ACS-5-YR Add.'!H73</f>
        <v>1667</v>
      </c>
      <c r="G231" s="115">
        <f t="shared" si="16"/>
        <v>6.4884010586953131E-2</v>
      </c>
      <c r="H231" s="270"/>
    </row>
    <row r="232" spans="1:9" x14ac:dyDescent="0.3">
      <c r="A232" s="13" t="s">
        <v>309</v>
      </c>
      <c r="B232" s="16">
        <f>'Ref. ACS-5-YR Add.'!B74</f>
        <v>1145</v>
      </c>
      <c r="C232" s="115">
        <f t="shared" si="14"/>
        <v>5.3839281515963698E-2</v>
      </c>
      <c r="D232" s="16">
        <f>'Ref. ACS-5-YR Add.'!E74</f>
        <v>804</v>
      </c>
      <c r="E232" s="115">
        <f t="shared" si="15"/>
        <v>3.332090016163123E-2</v>
      </c>
      <c r="F232" s="16">
        <f>'Ref. ACS-5-YR Add.'!H74</f>
        <v>782</v>
      </c>
      <c r="G232" s="115">
        <f t="shared" si="16"/>
        <v>3.0437490269344544E-2</v>
      </c>
      <c r="H232" s="270"/>
    </row>
    <row r="233" spans="1:9" x14ac:dyDescent="0.3">
      <c r="A233" s="13" t="s">
        <v>310</v>
      </c>
      <c r="B233" s="16">
        <f>'Ref. ACS-5-YR Add.'!B75</f>
        <v>1143</v>
      </c>
      <c r="C233" s="115">
        <f t="shared" si="14"/>
        <v>5.3745239102835379E-2</v>
      </c>
      <c r="D233" s="16">
        <f>'Ref. ACS-5-YR Add.'!E75</f>
        <v>1211</v>
      </c>
      <c r="E233" s="115">
        <f t="shared" si="15"/>
        <v>5.0188569770815199E-2</v>
      </c>
      <c r="F233" s="16">
        <f>'Ref. ACS-5-YR Add.'!H75</f>
        <v>912</v>
      </c>
      <c r="G233" s="115">
        <f t="shared" si="16"/>
        <v>3.5497431106959368E-2</v>
      </c>
      <c r="H233" s="270"/>
    </row>
    <row r="234" spans="1:9" x14ac:dyDescent="0.3">
      <c r="A234" t="s">
        <v>311</v>
      </c>
    </row>
    <row r="235" spans="1:9" x14ac:dyDescent="0.3">
      <c r="D235" s="2"/>
      <c r="I235" s="61" t="s">
        <v>2506</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Madera</v>
      </c>
      <c r="C237" s="60" t="str">
        <f>' Economic Conditions'!B3</f>
        <v>City of Madera</v>
      </c>
      <c r="D237" s="60" t="str">
        <f>' Economic Conditions'!B4</f>
        <v>Madera County</v>
      </c>
      <c r="E237" s="60" t="str">
        <f>' Economic Conditions'!B4</f>
        <v>Madera County</v>
      </c>
      <c r="F237" s="60" t="s">
        <v>173</v>
      </c>
      <c r="G237" s="60" t="s">
        <v>173</v>
      </c>
      <c r="I237" s="37"/>
    </row>
    <row r="238" spans="1:9" x14ac:dyDescent="0.3">
      <c r="A238" s="13" t="s">
        <v>180</v>
      </c>
      <c r="B238" s="16">
        <f>'Ref. ACS-5-YR Add.'!H62</f>
        <v>25692</v>
      </c>
      <c r="C238" s="55"/>
      <c r="D238" s="16">
        <f>'Ref. ACS-5-YR Add.'!R62</f>
        <v>58917</v>
      </c>
      <c r="E238" s="55"/>
      <c r="F238" s="16">
        <f>'Ref. ACS-5-YR Add.'!AB62</f>
        <v>18646894</v>
      </c>
      <c r="G238" s="55"/>
      <c r="I238" s="37"/>
    </row>
    <row r="239" spans="1:9" x14ac:dyDescent="0.3">
      <c r="A239" s="13" t="s">
        <v>298</v>
      </c>
      <c r="B239" s="16">
        <f>'Ref. ACS-5-YR Add.'!H63</f>
        <v>5565</v>
      </c>
      <c r="C239" s="55">
        <f>'Ref. ACS-5-YR Add.'!I63</f>
        <v>0.21660439047174218</v>
      </c>
      <c r="D239" s="16">
        <f>'Ref. ACS-5-YR Add.'!R63</f>
        <v>8757</v>
      </c>
      <c r="E239" s="55">
        <f>'Ref. ACS-5-YR Add.'!S63</f>
        <v>0.14863282244513468</v>
      </c>
      <c r="F239" s="16">
        <f>'Ref. ACS-5-YR Add.'!AB63</f>
        <v>394290</v>
      </c>
      <c r="G239" s="55">
        <f>'Ref. ACS-5-YR Add.'!AC63</f>
        <v>2.1000000000000001E-2</v>
      </c>
      <c r="I239" s="37"/>
    </row>
    <row r="240" spans="1:9" x14ac:dyDescent="0.3">
      <c r="A240" s="13" t="s">
        <v>299</v>
      </c>
      <c r="B240" s="16">
        <f>'Ref. ACS-5-YR Add.'!H64</f>
        <v>1871</v>
      </c>
      <c r="C240" s="55">
        <f>'Ref. ACS-5-YR Add.'!I64</f>
        <v>7.2824225439825627E-2</v>
      </c>
      <c r="D240" s="16">
        <f>'Ref. ACS-5-YR Add.'!R64</f>
        <v>5161</v>
      </c>
      <c r="E240" s="55">
        <f>'Ref. ACS-5-YR Add.'!S64</f>
        <v>8.7597807084542664E-2</v>
      </c>
      <c r="F240" s="16">
        <f>'Ref. ACS-5-YR Add.'!AB64</f>
        <v>1190537</v>
      </c>
      <c r="G240" s="55">
        <f>'Ref. ACS-5-YR Add.'!AC64</f>
        <v>6.4000000000000001E-2</v>
      </c>
      <c r="I240" s="37"/>
    </row>
    <row r="241" spans="1:9" x14ac:dyDescent="0.3">
      <c r="A241" s="13" t="s">
        <v>300</v>
      </c>
      <c r="B241" s="16">
        <f>'Ref. ACS-5-YR Add.'!H65</f>
        <v>2209</v>
      </c>
      <c r="C241" s="55">
        <f>'Ref. ACS-5-YR Add.'!I65</f>
        <v>8.5980071617624165E-2</v>
      </c>
      <c r="D241" s="16">
        <f>'Ref. ACS-5-YR Add.'!R65</f>
        <v>4943</v>
      </c>
      <c r="E241" s="55">
        <f>'Ref. ACS-5-YR Add.'!S65</f>
        <v>8.3897686576030681E-2</v>
      </c>
      <c r="F241" s="16">
        <f>'Ref. ACS-5-YR Add.'!AB65</f>
        <v>1676497</v>
      </c>
      <c r="G241" s="55">
        <f>'Ref. ACS-5-YR Add.'!AC65</f>
        <v>0.09</v>
      </c>
      <c r="I241" s="37"/>
    </row>
    <row r="242" spans="1:9" x14ac:dyDescent="0.3">
      <c r="A242" s="13" t="s">
        <v>301</v>
      </c>
      <c r="B242" s="16">
        <f>'Ref. ACS-5-YR Add.'!H66</f>
        <v>692</v>
      </c>
      <c r="C242" s="55">
        <f>'Ref. ACS-5-YR Add.'!I66</f>
        <v>2.6934454304841975E-2</v>
      </c>
      <c r="D242" s="16">
        <f>'Ref. ACS-5-YR Add.'!R66</f>
        <v>1189</v>
      </c>
      <c r="E242" s="55">
        <f>'Ref. ACS-5-YR Add.'!S66</f>
        <v>2.0180932498260265E-2</v>
      </c>
      <c r="F242" s="16">
        <f>'Ref. ACS-5-YR Add.'!AB66</f>
        <v>514234</v>
      </c>
      <c r="G242" s="55">
        <f>'Ref. ACS-5-YR Add.'!AC66</f>
        <v>2.8000000000000001E-2</v>
      </c>
      <c r="I242" s="37"/>
    </row>
    <row r="243" spans="1:9" x14ac:dyDescent="0.3">
      <c r="A243" s="13" t="s">
        <v>302</v>
      </c>
      <c r="B243" s="16">
        <f>'Ref. ACS-5-YR Add.'!H67</f>
        <v>2480</v>
      </c>
      <c r="C243" s="55">
        <f>'Ref. ACS-5-YR Add.'!I67</f>
        <v>9.6528102132959676E-2</v>
      </c>
      <c r="D243" s="16">
        <f>'Ref. ACS-5-YR Add.'!R67</f>
        <v>5790</v>
      </c>
      <c r="E243" s="55">
        <f>'Ref. ACS-5-YR Add.'!S67</f>
        <v>9.8273842863689592E-2</v>
      </c>
      <c r="F243" s="16">
        <f>'Ref. ACS-5-YR Add.'!AB67</f>
        <v>1942421</v>
      </c>
      <c r="G243" s="55">
        <f>'Ref. ACS-5-YR Add.'!AC67</f>
        <v>0.104</v>
      </c>
      <c r="I243" s="37"/>
    </row>
    <row r="244" spans="1:9" x14ac:dyDescent="0.3">
      <c r="A244" s="13" t="s">
        <v>303</v>
      </c>
      <c r="B244" s="16">
        <f>'Ref. ACS-5-YR Add.'!H68</f>
        <v>1180</v>
      </c>
      <c r="C244" s="55">
        <f>'Ref. ACS-5-YR Add.'!I68</f>
        <v>4.592869375681146E-2</v>
      </c>
      <c r="D244" s="16">
        <f>'Ref. ACS-5-YR Add.'!R68</f>
        <v>2718</v>
      </c>
      <c r="E244" s="55">
        <f>'Ref. ACS-5-YR Add.'!S68</f>
        <v>4.6132695147410765E-2</v>
      </c>
      <c r="F244" s="16">
        <f>'Ref. ACS-5-YR Add.'!AB68</f>
        <v>1028818</v>
      </c>
      <c r="G244" s="55">
        <f>'Ref. ACS-5-YR Add.'!AC68</f>
        <v>5.5E-2</v>
      </c>
      <c r="I244" s="37"/>
    </row>
    <row r="245" spans="1:9" x14ac:dyDescent="0.3">
      <c r="A245" s="13" t="s">
        <v>304</v>
      </c>
      <c r="B245" s="16">
        <f>'Ref. ACS-5-YR Add.'!H69</f>
        <v>131</v>
      </c>
      <c r="C245" s="55">
        <f>'Ref. ACS-5-YR Add.'!I69</f>
        <v>5.0988634594426284E-3</v>
      </c>
      <c r="D245" s="16">
        <f>'Ref. ACS-5-YR Add.'!R69</f>
        <v>670</v>
      </c>
      <c r="E245" s="55">
        <f>'Ref. ACS-5-YR Add.'!S69</f>
        <v>1.1371930003224876E-2</v>
      </c>
      <c r="F245" s="16">
        <f>'Ref. ACS-5-YR Add.'!AB69</f>
        <v>542674</v>
      </c>
      <c r="G245" s="55">
        <f>'Ref. ACS-5-YR Add.'!AC69</f>
        <v>2.9000000000000001E-2</v>
      </c>
      <c r="I245" s="37"/>
    </row>
    <row r="246" spans="1:9" x14ac:dyDescent="0.3">
      <c r="A246" s="13" t="s">
        <v>305</v>
      </c>
      <c r="B246" s="16">
        <f>'Ref. ACS-5-YR Add.'!H70</f>
        <v>1384</v>
      </c>
      <c r="C246" s="55">
        <f>'Ref. ACS-5-YR Add.'!I70</f>
        <v>5.3868908609683949E-2</v>
      </c>
      <c r="D246" s="16">
        <f>'Ref. ACS-5-YR Add.'!R70</f>
        <v>3018</v>
      </c>
      <c r="E246" s="55">
        <f>'Ref. ACS-5-YR Add.'!S70</f>
        <v>5.1224604104078621E-2</v>
      </c>
      <c r="F246" s="16">
        <f>'Ref. ACS-5-YR Add.'!AB70</f>
        <v>1118253</v>
      </c>
      <c r="G246" s="55">
        <f>'Ref. ACS-5-YR Add.'!AC70</f>
        <v>0.06</v>
      </c>
      <c r="I246" s="37"/>
    </row>
    <row r="247" spans="1:9" x14ac:dyDescent="0.3">
      <c r="A247" s="13" t="s">
        <v>306</v>
      </c>
      <c r="B247" s="16">
        <f>'Ref. ACS-5-YR Add.'!H71</f>
        <v>1861</v>
      </c>
      <c r="C247" s="55">
        <f>'Ref. ACS-5-YR Add.'!I71</f>
        <v>7.2434999221547558E-2</v>
      </c>
      <c r="D247" s="16">
        <f>'Ref. ACS-5-YR Add.'!R71</f>
        <v>4320</v>
      </c>
      <c r="E247" s="55">
        <f>'Ref. ACS-5-YR Add.'!S71</f>
        <v>7.3323488976017107E-2</v>
      </c>
      <c r="F247" s="16">
        <f>'Ref. ACS-5-YR Add.'!AB71</f>
        <v>2581266</v>
      </c>
      <c r="G247" s="55">
        <f>'Ref. ACS-5-YR Add.'!AC71</f>
        <v>0.13800000000000001</v>
      </c>
      <c r="I247" s="37"/>
    </row>
    <row r="248" spans="1:9" x14ac:dyDescent="0.3">
      <c r="A248" s="13" t="s">
        <v>307</v>
      </c>
      <c r="B248" s="16">
        <f>'Ref. ACS-5-YR Add.'!H72</f>
        <v>4958</v>
      </c>
      <c r="C248" s="55">
        <f>'Ref. ACS-5-YR Add.'!I72</f>
        <v>0.19297835902226373</v>
      </c>
      <c r="D248" s="16">
        <f>'Ref. ACS-5-YR Add.'!R72</f>
        <v>12686</v>
      </c>
      <c r="E248" s="55">
        <f>'Ref. ACS-5-YR Add.'!S72</f>
        <v>0.21531985674762802</v>
      </c>
      <c r="F248" s="16">
        <f>'Ref. ACS-5-YR Add.'!AB72</f>
        <v>3960265</v>
      </c>
      <c r="G248" s="55">
        <f>'Ref. ACS-5-YR Add.'!AC72</f>
        <v>0.21199999999999999</v>
      </c>
      <c r="I248" s="37"/>
    </row>
    <row r="249" spans="1:9" x14ac:dyDescent="0.3">
      <c r="A249" s="13" t="s">
        <v>308</v>
      </c>
      <c r="B249" s="16">
        <f>'Ref. ACS-5-YR Add.'!H73</f>
        <v>1667</v>
      </c>
      <c r="C249" s="55">
        <f>'Ref. ACS-5-YR Add.'!I73</f>
        <v>6.4884010586953131E-2</v>
      </c>
      <c r="D249" s="16">
        <f>'Ref. ACS-5-YR Add.'!R73</f>
        <v>4703</v>
      </c>
      <c r="E249" s="55">
        <f>'Ref. ACS-5-YR Add.'!S73</f>
        <v>7.9824159410696399E-2</v>
      </c>
      <c r="F249" s="16">
        <f>'Ref. ACS-5-YR Add.'!AB73</f>
        <v>1894858</v>
      </c>
      <c r="G249" s="55">
        <f>'Ref. ACS-5-YR Add.'!AC73</f>
        <v>0.10199999999999999</v>
      </c>
      <c r="I249" s="37"/>
    </row>
    <row r="250" spans="1:9" x14ac:dyDescent="0.3">
      <c r="A250" s="13" t="s">
        <v>309</v>
      </c>
      <c r="B250" s="16">
        <f>'Ref. ACS-5-YR Add.'!H74</f>
        <v>782</v>
      </c>
      <c r="C250" s="55">
        <f>'Ref. ACS-5-YR Add.'!I74</f>
        <v>3.0437490269344544E-2</v>
      </c>
      <c r="D250" s="16">
        <f>'Ref. ACS-5-YR Add.'!R74</f>
        <v>2166</v>
      </c>
      <c r="E250" s="55">
        <f>'Ref. ACS-5-YR Add.'!S74</f>
        <v>3.6763582667141914E-2</v>
      </c>
      <c r="F250" s="16">
        <f>'Ref. ACS-5-YR Add.'!AB74</f>
        <v>952302</v>
      </c>
      <c r="G250" s="55">
        <f>'Ref. ACS-5-YR Add.'!AC74</f>
        <v>5.0999999999999997E-2</v>
      </c>
      <c r="I250" s="37"/>
    </row>
    <row r="251" spans="1:9" x14ac:dyDescent="0.3">
      <c r="A251" s="13" t="s">
        <v>310</v>
      </c>
      <c r="B251" s="16">
        <f>'Ref. ACS-5-YR Add.'!H75</f>
        <v>912</v>
      </c>
      <c r="C251" s="55">
        <f>'Ref. ACS-5-YR Add.'!I75</f>
        <v>3.5497431106959368E-2</v>
      </c>
      <c r="D251" s="16">
        <f>'Ref. ACS-5-YR Add.'!R75</f>
        <v>2796</v>
      </c>
      <c r="E251" s="55">
        <f>'Ref. ACS-5-YR Add.'!S75</f>
        <v>4.7456591476144408E-2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Madera</v>
      </c>
      <c r="C255" s="51" t="str">
        <f>' Economic Conditions'!B3</f>
        <v>City of Madera</v>
      </c>
      <c r="D255" s="51" t="str">
        <f>' Economic Conditions'!B4</f>
        <v>Madera County</v>
      </c>
      <c r="E255" s="51" t="str">
        <f>' Economic Conditions'!B4</f>
        <v>Madera County</v>
      </c>
      <c r="F255" s="51" t="s">
        <v>173</v>
      </c>
      <c r="G255" s="59" t="s">
        <v>173</v>
      </c>
      <c r="I255" s="37"/>
    </row>
    <row r="256" spans="1:9" x14ac:dyDescent="0.3">
      <c r="A256" s="13" t="s">
        <v>180</v>
      </c>
      <c r="B256" s="16">
        <f>'Ref. ACS-5-YR Add.'!H62</f>
        <v>25692</v>
      </c>
      <c r="C256" s="55"/>
      <c r="D256" s="16">
        <f>'Ref. ACS-5-YR Add.'!R62</f>
        <v>58917</v>
      </c>
      <c r="E256" s="55"/>
      <c r="F256" s="16">
        <f>'Ref. ACS-5-YR Add.'!AB62</f>
        <v>18646894</v>
      </c>
      <c r="G256" s="55"/>
      <c r="I256" s="37"/>
    </row>
    <row r="257" spans="1:9" x14ac:dyDescent="0.3">
      <c r="A257" s="13" t="s">
        <v>314</v>
      </c>
      <c r="B257" s="16">
        <f>'Ref. ACS-5-YR Add.'!H76</f>
        <v>5179</v>
      </c>
      <c r="C257" s="55">
        <f>'Ref. ACS-5-YR Add.'!I76</f>
        <v>0.20158025844620894</v>
      </c>
      <c r="D257" s="16">
        <f>'Ref. ACS-5-YR Add.'!R76</f>
        <v>15203</v>
      </c>
      <c r="E257" s="55">
        <f>'Ref. ACS-5-YR Add.'!S76</f>
        <v>0.2580409728940713</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4649</v>
      </c>
      <c r="C258" s="55">
        <f>'Ref. ACS-5-YR Add.'!I90</f>
        <v>0.18095126887747159</v>
      </c>
      <c r="D258" s="16">
        <f>'Ref. ACS-5-YR Add.'!R90</f>
        <v>10817</v>
      </c>
      <c r="E258" s="55">
        <f>'Ref. ACS-5-YR Add.'!S90</f>
        <v>0.1835972639475873</v>
      </c>
      <c r="F258" s="16">
        <f>'Ref. ACS-5-YR Add.'!AB90</f>
        <v>3376613</v>
      </c>
      <c r="G258" s="55">
        <f>'Ref. ACS-5-YR Add.'!AC90</f>
        <v>0.18099999999999999</v>
      </c>
      <c r="I258" s="289" t="s">
        <v>2507</v>
      </c>
    </row>
    <row r="259" spans="1:9" x14ac:dyDescent="0.3">
      <c r="A259" s="13" t="s">
        <v>316</v>
      </c>
      <c r="B259" s="16">
        <f>'Ref. ACS-5-YR Add.'!H104</f>
        <v>4907</v>
      </c>
      <c r="C259" s="55">
        <f>'Ref. ACS-5-YR Add.'!I104</f>
        <v>0.19099330530904562</v>
      </c>
      <c r="D259" s="16">
        <f>'Ref. ACS-5-YR Add.'!R104</f>
        <v>11611</v>
      </c>
      <c r="E259" s="55">
        <f>'Ref. ACS-5-YR Add.'!S104</f>
        <v>0.19707384965290153</v>
      </c>
      <c r="F259" s="16">
        <f>'Ref. ACS-5-YR Add.'!AB104</f>
        <v>3903884</v>
      </c>
      <c r="G259" s="55">
        <f>'Ref. ACS-5-YR Add.'!AC104</f>
        <v>0.20899999999999999</v>
      </c>
    </row>
    <row r="260" spans="1:9" x14ac:dyDescent="0.3">
      <c r="A260" s="13" t="s">
        <v>317</v>
      </c>
      <c r="B260" s="16">
        <f>'Ref. ACS-5-YR Add.'!H118</f>
        <v>7207</v>
      </c>
      <c r="C260" s="55">
        <f>'Ref. ACS-5-YR Add.'!I118</f>
        <v>0.28051533551300017</v>
      </c>
      <c r="D260" s="16">
        <f>'Ref. ACS-5-YR Add.'!R118</f>
        <v>13076</v>
      </c>
      <c r="E260" s="55">
        <f>'Ref. ACS-5-YR Add.'!S118</f>
        <v>0.22193933839129623</v>
      </c>
      <c r="F260" s="16">
        <f>'Ref. ACS-5-YR Add.'!AB118</f>
        <v>1638447</v>
      </c>
      <c r="G260" s="55">
        <f>'Ref. ACS-5-YR Add.'!AC118</f>
        <v>8.7999999999999995E-2</v>
      </c>
      <c r="I260" s="61" t="s">
        <v>2508</v>
      </c>
    </row>
    <row r="261" spans="1:9" x14ac:dyDescent="0.3">
      <c r="A261" s="13" t="s">
        <v>318</v>
      </c>
      <c r="B261" s="16">
        <f>'Ref. ACS-5-YR Add.'!H132</f>
        <v>3750</v>
      </c>
      <c r="C261" s="55">
        <f>'Ref. ACS-5-YR Add.'!I132</f>
        <v>0.14595983185427369</v>
      </c>
      <c r="D261" s="16">
        <f>'Ref. ACS-5-YR Add.'!R132</f>
        <v>8210</v>
      </c>
      <c r="E261" s="55">
        <f>'Ref. ACS-5-YR Add.'!S132</f>
        <v>0.13934857511414361</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2467</v>
      </c>
      <c r="I264" s="37"/>
    </row>
    <row r="265" spans="1:9" ht="28.8" x14ac:dyDescent="0.3">
      <c r="A265" s="48"/>
      <c r="B265" s="51" t="str">
        <f>B4</f>
        <v>Madera County</v>
      </c>
      <c r="I265" s="37"/>
    </row>
    <row r="266" spans="1:9" x14ac:dyDescent="0.3">
      <c r="A266" s="13" t="s">
        <v>319</v>
      </c>
      <c r="B266" s="16">
        <f>'Ref. Ag'!H3</f>
        <v>720</v>
      </c>
      <c r="I266" s="37"/>
    </row>
    <row r="267" spans="1:9" x14ac:dyDescent="0.3">
      <c r="A267" s="13" t="s">
        <v>320</v>
      </c>
      <c r="B267" s="16">
        <f>'Ref. Ag'!H10</f>
        <v>15654</v>
      </c>
      <c r="I267" s="37"/>
    </row>
    <row r="268" spans="1:9" x14ac:dyDescent="0.3">
      <c r="A268" t="s">
        <v>321</v>
      </c>
      <c r="I268" s="37"/>
    </row>
    <row r="269" spans="1:9" x14ac:dyDescent="0.3">
      <c r="A269" s="287" t="s">
        <v>2469</v>
      </c>
      <c r="B269" s="286"/>
      <c r="C269" s="286"/>
      <c r="D269" s="286"/>
      <c r="E269" s="286"/>
      <c r="F269" s="286"/>
      <c r="G269" s="286"/>
      <c r="I269" s="37"/>
    </row>
    <row r="270" spans="1:9" x14ac:dyDescent="0.3">
      <c r="I270" s="37"/>
    </row>
    <row r="271" spans="1:9" x14ac:dyDescent="0.3">
      <c r="A271" s="1" t="s">
        <v>2468</v>
      </c>
      <c r="I271" s="37"/>
    </row>
    <row r="272" spans="1:9" ht="28.8" x14ac:dyDescent="0.3">
      <c r="A272" s="48"/>
      <c r="B272" s="51" t="str">
        <f>B4</f>
        <v>Madera County</v>
      </c>
      <c r="I272" s="37"/>
    </row>
    <row r="273" spans="1:9" x14ac:dyDescent="0.3">
      <c r="A273" s="13" t="s">
        <v>322</v>
      </c>
      <c r="B273" s="16">
        <f>'Ref. Ag'!H25</f>
        <v>6889</v>
      </c>
      <c r="I273" s="37"/>
    </row>
    <row r="274" spans="1:9" x14ac:dyDescent="0.3">
      <c r="A274" s="13" t="s">
        <v>323</v>
      </c>
      <c r="B274" s="16">
        <f>'Ref. Ag'!H40</f>
        <v>8765</v>
      </c>
      <c r="I274" t="str">
        <f>A262</f>
        <v>Source: U.S. Census Bureau, ACS16-20 (5-year Estimates), Table C24050.</v>
      </c>
    </row>
    <row r="275" spans="1:9" x14ac:dyDescent="0.3">
      <c r="A275" t="s">
        <v>321</v>
      </c>
      <c r="I275"/>
    </row>
    <row r="276" spans="1:9" x14ac:dyDescent="0.3">
      <c r="A276" s="287" t="s">
        <v>2469</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7" t="s">
        <v>1292</v>
      </c>
      <c r="B1" s="358"/>
      <c r="C1" s="358"/>
      <c r="D1" s="358"/>
      <c r="E1" s="358"/>
      <c r="F1" s="358"/>
      <c r="G1" s="358"/>
      <c r="H1" s="358"/>
      <c r="I1" s="358"/>
      <c r="J1" s="350" t="s">
        <v>169</v>
      </c>
    </row>
    <row r="2" spans="1:10" x14ac:dyDescent="0.3">
      <c r="A2" s="351" t="s">
        <v>5</v>
      </c>
      <c r="B2" s="352"/>
      <c r="C2" s="352"/>
      <c r="D2" s="352"/>
      <c r="E2" s="352"/>
      <c r="F2" s="352"/>
      <c r="G2" s="352"/>
      <c r="H2" s="353"/>
      <c r="I2" s="98" t="s">
        <v>6</v>
      </c>
      <c r="J2" s="350"/>
    </row>
    <row r="3" spans="1:10" x14ac:dyDescent="0.3">
      <c r="A3" s="77" t="s">
        <v>0</v>
      </c>
      <c r="B3" s="77" t="str">
        <f>Population!B3</f>
        <v>City of Madera</v>
      </c>
      <c r="C3" s="65"/>
      <c r="D3" s="65"/>
      <c r="E3" s="65"/>
      <c r="F3" s="65"/>
      <c r="G3" s="65"/>
      <c r="H3" s="272"/>
      <c r="I3" s="78"/>
      <c r="J3" s="350"/>
    </row>
    <row r="4" spans="1:10" x14ac:dyDescent="0.3">
      <c r="A4" s="77" t="s">
        <v>2</v>
      </c>
      <c r="B4" s="77" t="str">
        <f>Population!B4</f>
        <v>Madera County</v>
      </c>
      <c r="C4" s="65"/>
      <c r="D4" s="65"/>
      <c r="E4" s="65"/>
      <c r="F4" s="65"/>
      <c r="G4" s="65"/>
      <c r="H4" s="272"/>
      <c r="I4" s="78"/>
      <c r="J4" s="350"/>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2500</v>
      </c>
    </row>
    <row r="8" spans="1:10" x14ac:dyDescent="0.3">
      <c r="A8" s="13" t="s">
        <v>1294</v>
      </c>
      <c r="B8" s="16">
        <f>'Ref. DC-1980'!B10</f>
        <v>7359</v>
      </c>
      <c r="C8" s="16">
        <f>'Ref. DC-1990'!B8</f>
        <v>9159</v>
      </c>
      <c r="D8" s="16">
        <f>'Ref. DC-2000'!B37</f>
        <v>11978</v>
      </c>
      <c r="E8" s="16">
        <f>'Ref. DC-2010'!B37</f>
        <v>15938</v>
      </c>
      <c r="F8" s="16">
        <f>'Ref. ACS-5-YR'!H156</f>
        <v>17598</v>
      </c>
      <c r="H8" s="267"/>
    </row>
    <row r="9" spans="1:10" x14ac:dyDescent="0.3">
      <c r="A9" s="13" t="s">
        <v>177</v>
      </c>
      <c r="B9" s="3"/>
      <c r="C9" s="4">
        <f>(C8-B8)/B8</f>
        <v>0.24459845087647777</v>
      </c>
      <c r="D9" s="4">
        <f>(D8-C8)/C8</f>
        <v>0.30778469265203623</v>
      </c>
      <c r="E9" s="4">
        <f>(E8-D8)/D8</f>
        <v>0.33060611120387379</v>
      </c>
      <c r="F9" s="4">
        <f>(F8-E8)/E8</f>
        <v>0.10415359518132765</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1" t="s">
        <v>1296</v>
      </c>
      <c r="C22" s="114" t="s">
        <v>179</v>
      </c>
      <c r="D22" s="114"/>
      <c r="E22" s="114" t="s">
        <v>179</v>
      </c>
      <c r="F22" s="114"/>
      <c r="G22" s="114" t="s">
        <v>179</v>
      </c>
    </row>
    <row r="23" spans="1:9" ht="28.8" x14ac:dyDescent="0.3">
      <c r="A23" s="48" t="s">
        <v>172</v>
      </c>
      <c r="B23" s="60" t="str">
        <f>B3</f>
        <v>City of Madera</v>
      </c>
      <c r="C23" s="60" t="str">
        <f>B3</f>
        <v>City of Madera</v>
      </c>
      <c r="D23" s="60" t="str">
        <f>B4</f>
        <v>Madera County</v>
      </c>
      <c r="E23" s="60" t="str">
        <f>B4</f>
        <v>Madera County</v>
      </c>
      <c r="F23" s="60" t="s">
        <v>173</v>
      </c>
      <c r="G23" s="60" t="s">
        <v>173</v>
      </c>
      <c r="H23" s="269"/>
      <c r="I23" s="61" t="s">
        <v>1297</v>
      </c>
    </row>
    <row r="24" spans="1:9" x14ac:dyDescent="0.3">
      <c r="A24" s="13" t="s">
        <v>180</v>
      </c>
      <c r="B24" s="16">
        <f>'Ref. ACS-5-YR'!H1577</f>
        <v>17598</v>
      </c>
      <c r="C24" s="55"/>
      <c r="D24" s="16">
        <f>'Ref. ACS-5-YR'!R1577</f>
        <v>44479</v>
      </c>
      <c r="E24" s="55"/>
      <c r="F24" s="16">
        <f>'Ref. ACS-5-YR'!AB1577</f>
        <v>13103114</v>
      </c>
      <c r="G24" s="55"/>
      <c r="H24" s="270"/>
    </row>
    <row r="25" spans="1:9" x14ac:dyDescent="0.3">
      <c r="A25" s="13" t="s">
        <v>1298</v>
      </c>
      <c r="B25" s="16">
        <f>'Ref. ACS-5-YR'!H1578</f>
        <v>9606</v>
      </c>
      <c r="C25" s="55">
        <f>'Ref. ACS-5-YR'!I1578</f>
        <v>0.54585748380497778</v>
      </c>
      <c r="D25" s="16">
        <f>'Ref. ACS-5-YR'!R1578</f>
        <v>26095</v>
      </c>
      <c r="E25" s="55">
        <f>'Ref. ACS-5-YR'!S1578</f>
        <v>0.58668135524629605</v>
      </c>
      <c r="F25" s="16">
        <f>'Ref. ACS-5-YR'!AB1578</f>
        <v>6510580</v>
      </c>
      <c r="G25" s="55">
        <f>'Ref. ACS-5-YR'!AC1578</f>
        <v>0.497</v>
      </c>
      <c r="H25" s="270"/>
    </row>
    <row r="26" spans="1:9" x14ac:dyDescent="0.3">
      <c r="A26" s="13" t="s">
        <v>1299</v>
      </c>
      <c r="B26" s="16">
        <f>'Ref. ACS-5-YR'!H1579</f>
        <v>5576</v>
      </c>
      <c r="C26" s="55">
        <f>'Ref. ACS-5-YR'!I1579</f>
        <v>0.31685418797590637</v>
      </c>
      <c r="D26" s="16">
        <f>'Ref. ACS-5-YR'!R1579</f>
        <v>11464</v>
      </c>
      <c r="E26" s="55">
        <f>'Ref. ACS-5-YR'!S1579</f>
        <v>0.25773960745520358</v>
      </c>
      <c r="F26" s="16">
        <f>'Ref. ACS-5-YR'!AB1579</f>
        <v>2784123</v>
      </c>
      <c r="G26" s="55">
        <f>'Ref. ACS-5-YR'!AC1579</f>
        <v>0.21199999999999999</v>
      </c>
      <c r="H26" s="270"/>
      <c r="I26" s="62"/>
    </row>
    <row r="27" spans="1:9" x14ac:dyDescent="0.3">
      <c r="A27" s="13" t="s">
        <v>1300</v>
      </c>
      <c r="B27" s="16">
        <f>'Ref. ACS-5-YR'!H1580</f>
        <v>4030</v>
      </c>
      <c r="C27" s="55">
        <f>'Ref. ACS-5-YR'!I1580</f>
        <v>0.22900329582907147</v>
      </c>
      <c r="D27" s="16">
        <f>'Ref. ACS-5-YR'!R1580</f>
        <v>14631</v>
      </c>
      <c r="E27" s="55">
        <f>'Ref. ACS-5-YR'!S1580</f>
        <v>0.32894174779109242</v>
      </c>
      <c r="F27" s="16">
        <f>'Ref. ACS-5-YR'!AB1580</f>
        <v>3726457</v>
      </c>
      <c r="G27" s="55">
        <f>'Ref. ACS-5-YR'!AC1580</f>
        <v>0.28399999999999997</v>
      </c>
      <c r="H27" s="270"/>
    </row>
    <row r="28" spans="1:9" x14ac:dyDescent="0.3">
      <c r="A28" s="13" t="s">
        <v>1301</v>
      </c>
      <c r="B28" s="16">
        <f>'Ref. ACS-5-YR'!H1581</f>
        <v>1557</v>
      </c>
      <c r="C28" s="55">
        <f>'Ref. ACS-5-YR'!I1581</f>
        <v>8.8475963177633815E-2</v>
      </c>
      <c r="D28" s="16">
        <f>'Ref. ACS-5-YR'!R1581</f>
        <v>3274</v>
      </c>
      <c r="E28" s="55">
        <f>'Ref. ACS-5-YR'!S1581</f>
        <v>7.3607769958856983E-2</v>
      </c>
      <c r="F28" s="16">
        <f>'Ref. ACS-5-YR'!AB1581</f>
        <v>896192</v>
      </c>
      <c r="G28" s="55">
        <f>'Ref. ACS-5-YR'!AC1581</f>
        <v>6.8000000000000005E-2</v>
      </c>
      <c r="H28" s="270"/>
    </row>
    <row r="29" spans="1:9" x14ac:dyDescent="0.3">
      <c r="A29" s="13" t="s">
        <v>1302</v>
      </c>
      <c r="B29" s="16">
        <f>'Ref. ACS-5-YR'!H1582</f>
        <v>999</v>
      </c>
      <c r="C29" s="55">
        <f>'Ref. ACS-5-YR'!I1582</f>
        <v>5.676781452437777E-2</v>
      </c>
      <c r="D29" s="16">
        <f>'Ref. ACS-5-YR'!R1582</f>
        <v>1816</v>
      </c>
      <c r="E29" s="55">
        <f>'Ref. ACS-5-YR'!S1582</f>
        <v>4.0828256030935949E-2</v>
      </c>
      <c r="F29" s="16">
        <f>'Ref. ACS-5-YR'!AB1582</f>
        <v>327712</v>
      </c>
      <c r="G29" s="55">
        <f>'Ref. ACS-5-YR'!AC1582</f>
        <v>2.5000000000000001E-2</v>
      </c>
      <c r="H29" s="270"/>
    </row>
    <row r="30" spans="1:9" x14ac:dyDescent="0.3">
      <c r="A30" s="13" t="s">
        <v>1303</v>
      </c>
      <c r="B30" s="16">
        <f>'Ref. ACS-5-YR'!H1583</f>
        <v>558</v>
      </c>
      <c r="C30" s="55">
        <f>'Ref. ACS-5-YR'!I1583</f>
        <v>3.1708148653256052E-2</v>
      </c>
      <c r="D30" s="16">
        <f>'Ref. ACS-5-YR'!R1583</f>
        <v>1458</v>
      </c>
      <c r="E30" s="55">
        <f>'Ref. ACS-5-YR'!S1583</f>
        <v>3.2779513927921042E-2</v>
      </c>
      <c r="F30" s="16">
        <f>'Ref. ACS-5-YR'!AB1583</f>
        <v>568480</v>
      </c>
      <c r="G30" s="55">
        <f>'Ref. ACS-5-YR'!AC1583</f>
        <v>4.2999999999999997E-2</v>
      </c>
      <c r="H30" s="270"/>
    </row>
    <row r="31" spans="1:9" x14ac:dyDescent="0.3">
      <c r="A31" s="13" t="s">
        <v>1304</v>
      </c>
      <c r="B31" s="16">
        <f>'Ref. ACS-5-YR'!H1584</f>
        <v>4378</v>
      </c>
      <c r="C31" s="55">
        <f>'Ref. ACS-5-YR'!I1584</f>
        <v>0.24877827025798385</v>
      </c>
      <c r="D31" s="16">
        <f>'Ref. ACS-5-YR'!R1584</f>
        <v>9405</v>
      </c>
      <c r="E31" s="55">
        <f>'Ref. ACS-5-YR'!S1584</f>
        <v>0.21144809910294746</v>
      </c>
      <c r="F31" s="16">
        <f>'Ref. ACS-5-YR'!AB1584</f>
        <v>3430426</v>
      </c>
      <c r="G31" s="55">
        <f>'Ref. ACS-5-YR'!AC1584</f>
        <v>0.26200000000000001</v>
      </c>
      <c r="H31" s="270"/>
    </row>
    <row r="32" spans="1:9" x14ac:dyDescent="0.3">
      <c r="A32" s="13" t="s">
        <v>1305</v>
      </c>
      <c r="B32" s="16">
        <f>'Ref. ACS-5-YR'!H1585</f>
        <v>1429</v>
      </c>
      <c r="C32" s="55">
        <f>'Ref. ACS-5-YR'!I1585</f>
        <v>8.1202409364700537E-2</v>
      </c>
      <c r="D32" s="16">
        <f>'Ref. ACS-5-YR'!R1585</f>
        <v>4154</v>
      </c>
      <c r="E32" s="55">
        <f>'Ref. ACS-5-YR'!S1585</f>
        <v>9.3392387418781891E-2</v>
      </c>
      <c r="F32" s="16">
        <f>'Ref. ACS-5-YR'!AB1585</f>
        <v>1722600</v>
      </c>
      <c r="G32" s="55">
        <f>'Ref. ACS-5-YR'!AC1585</f>
        <v>0.13100000000000001</v>
      </c>
      <c r="H32" s="270"/>
    </row>
    <row r="33" spans="1:9" x14ac:dyDescent="0.3">
      <c r="A33" s="13" t="s">
        <v>1299</v>
      </c>
      <c r="B33" s="16">
        <f>'Ref. ACS-5-YR'!H1586</f>
        <v>1522</v>
      </c>
      <c r="C33" s="55">
        <f>'Ref. ACS-5-YR'!I1586</f>
        <v>8.648710080690987E-2</v>
      </c>
      <c r="D33" s="16">
        <f>'Ref. ACS-5-YR'!R1586</f>
        <v>2378</v>
      </c>
      <c r="E33" s="55">
        <f>'Ref. ACS-5-YR'!S1586</f>
        <v>5.34634321814789E-2</v>
      </c>
      <c r="F33" s="16">
        <f>'Ref. ACS-5-YR'!AB1586</f>
        <v>615734</v>
      </c>
      <c r="G33" s="55">
        <f>'Ref. ACS-5-YR'!AC1586</f>
        <v>4.7E-2</v>
      </c>
      <c r="H33" s="270"/>
    </row>
    <row r="34" spans="1:9" x14ac:dyDescent="0.3">
      <c r="A34" s="13" t="s">
        <v>1306</v>
      </c>
      <c r="B34" s="16">
        <f>'Ref. ACS-5-YR'!H1587</f>
        <v>1294</v>
      </c>
      <c r="C34" s="55">
        <f>'Ref. ACS-5-YR'!I1587</f>
        <v>7.3531083077622461E-2</v>
      </c>
      <c r="D34" s="16">
        <f>'Ref. ACS-5-YR'!R1587</f>
        <v>2484</v>
      </c>
      <c r="E34" s="55">
        <f>'Ref. ACS-5-YR'!S1587</f>
        <v>5.5846579284606221E-2</v>
      </c>
      <c r="F34" s="16">
        <f>'Ref. ACS-5-YR'!AB1587</f>
        <v>858959</v>
      </c>
      <c r="G34" s="55">
        <f>'Ref. ACS-5-YR'!AC1587</f>
        <v>6.6000000000000003E-2</v>
      </c>
      <c r="H34" s="270"/>
    </row>
    <row r="35" spans="1:9" x14ac:dyDescent="0.3">
      <c r="A35" s="13" t="s">
        <v>1307</v>
      </c>
      <c r="B35" s="16">
        <f>'Ref. ACS-5-YR'!H1588</f>
        <v>133</v>
      </c>
      <c r="C35" s="55">
        <f>'Ref. ACS-5-YR'!I1588</f>
        <v>7.5576770087509943E-3</v>
      </c>
      <c r="D35" s="16">
        <f>'Ref. ACS-5-YR'!R1588</f>
        <v>389</v>
      </c>
      <c r="E35" s="55">
        <f>'Ref. ACS-5-YR'!S1588</f>
        <v>8.7457002180804429E-3</v>
      </c>
      <c r="F35" s="16">
        <f>'Ref. ACS-5-YR'!AB1588</f>
        <v>233133</v>
      </c>
      <c r="G35" s="55">
        <f>'Ref. ACS-5-YR'!AC1588</f>
        <v>1.7999999999999999E-2</v>
      </c>
      <c r="H35" s="270"/>
    </row>
    <row r="36" spans="1:9" x14ac:dyDescent="0.3">
      <c r="A36" s="13" t="s">
        <v>1308</v>
      </c>
      <c r="B36" s="16">
        <f>'Ref. ACS-5-YR'!H1589</f>
        <v>2057</v>
      </c>
      <c r="C36" s="55">
        <f>'Ref. ACS-5-YR'!I1589</f>
        <v>0.11688828275940448</v>
      </c>
      <c r="D36" s="16">
        <f>'Ref. ACS-5-YR'!R1589</f>
        <v>5705</v>
      </c>
      <c r="E36" s="55">
        <f>'Ref. ACS-5-YR'!S1589</f>
        <v>0.12826277569189956</v>
      </c>
      <c r="F36" s="16">
        <f>'Ref. ACS-5-YR'!AB1589</f>
        <v>2265916</v>
      </c>
      <c r="G36" s="55">
        <f>'Ref. ACS-5-YR'!AC1589</f>
        <v>0.17299999999999999</v>
      </c>
      <c r="H36" s="270"/>
    </row>
    <row r="37" spans="1:9" x14ac:dyDescent="0.3">
      <c r="A37" s="13" t="s">
        <v>1305</v>
      </c>
      <c r="B37" s="16">
        <f>'Ref. ACS-5-YR'!H1590</f>
        <v>1065</v>
      </c>
      <c r="C37" s="55">
        <f>'Ref. ACS-5-YR'!I1590</f>
        <v>6.05182407091715E-2</v>
      </c>
      <c r="D37" s="16">
        <f>'Ref. ACS-5-YR'!R1590</f>
        <v>3234</v>
      </c>
      <c r="E37" s="55">
        <f>'Ref. ACS-5-YR'!S1590</f>
        <v>7.2708469165224041E-2</v>
      </c>
      <c r="F37" s="16">
        <f>'Ref. ACS-5-YR'!AB1590</f>
        <v>1392219</v>
      </c>
      <c r="G37" s="55">
        <f>'Ref. ACS-5-YR'!AC1590</f>
        <v>0.106</v>
      </c>
      <c r="H37" s="270"/>
    </row>
    <row r="38" spans="1:9" x14ac:dyDescent="0.3">
      <c r="A38" s="13" t="s">
        <v>1299</v>
      </c>
      <c r="B38" s="16">
        <f>'Ref. ACS-5-YR'!H1591</f>
        <v>222</v>
      </c>
      <c r="C38" s="55">
        <f>'Ref. ACS-5-YR'!I1591</f>
        <v>1.261506989430617E-2</v>
      </c>
      <c r="D38" s="16">
        <f>'Ref. ACS-5-YR'!R1591</f>
        <v>551</v>
      </c>
      <c r="E38" s="55">
        <f>'Ref. ACS-5-YR'!S1591</f>
        <v>1.2387868432293891E-2</v>
      </c>
      <c r="F38" s="16">
        <f>'Ref. ACS-5-YR'!AB1591</f>
        <v>170832</v>
      </c>
      <c r="G38" s="55">
        <f>'Ref. ACS-5-YR'!AC1591</f>
        <v>1.2999999999999999E-2</v>
      </c>
      <c r="H38" s="270"/>
    </row>
    <row r="39" spans="1:9" x14ac:dyDescent="0.3">
      <c r="A39" s="13" t="s">
        <v>1306</v>
      </c>
      <c r="B39" s="16">
        <f>'Ref. ACS-5-YR'!H1592</f>
        <v>534</v>
      </c>
      <c r="C39" s="55">
        <f>'Ref. ACS-5-YR'!I1592</f>
        <v>3.0344357313331061E-2</v>
      </c>
      <c r="D39" s="16">
        <f>'Ref. ACS-5-YR'!R1592</f>
        <v>1357</v>
      </c>
      <c r="E39" s="55">
        <f>'Ref. ACS-5-YR'!S1592</f>
        <v>3.050877942399784E-2</v>
      </c>
      <c r="F39" s="16">
        <f>'Ref. ACS-5-YR'!AB1592</f>
        <v>414759</v>
      </c>
      <c r="G39" s="55">
        <f>'Ref. ACS-5-YR'!AC1592</f>
        <v>3.2000000000000001E-2</v>
      </c>
      <c r="H39" s="270"/>
    </row>
    <row r="40" spans="1:9" x14ac:dyDescent="0.3">
      <c r="A40" s="13" t="s">
        <v>1307</v>
      </c>
      <c r="B40" s="16">
        <f>'Ref. ACS-5-YR'!H1593</f>
        <v>236</v>
      </c>
      <c r="C40" s="55">
        <f>'Ref. ACS-5-YR'!I1593</f>
        <v>1.341061484259575E-2</v>
      </c>
      <c r="D40" s="16">
        <f>'Ref. ACS-5-YR'!R1593</f>
        <v>563</v>
      </c>
      <c r="E40" s="55">
        <f>'Ref. ACS-5-YR'!S1593</f>
        <v>1.2657658670383777E-2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Madera</v>
      </c>
      <c r="C44" s="108" t="str">
        <f>B3</f>
        <v>City of Madera</v>
      </c>
      <c r="D44" s="108" t="str">
        <f>B4</f>
        <v>Madera County</v>
      </c>
      <c r="E44" s="108" t="str">
        <f>B4</f>
        <v>Madera County</v>
      </c>
      <c r="F44" s="108" t="s">
        <v>173</v>
      </c>
      <c r="G44" s="108" t="s">
        <v>173</v>
      </c>
    </row>
    <row r="45" spans="1:9" x14ac:dyDescent="0.3">
      <c r="A45" s="110" t="s">
        <v>1304</v>
      </c>
      <c r="B45" s="6">
        <f>'Ref. ACS-5-YR'!H1584</f>
        <v>4378</v>
      </c>
      <c r="C45" s="55"/>
      <c r="D45" s="6">
        <f>'Ref. ACS-5-YR'!R1584</f>
        <v>9405</v>
      </c>
      <c r="E45" s="55"/>
      <c r="F45" s="6">
        <f>'Ref. ACS-5-YR'!AB1584</f>
        <v>3430426</v>
      </c>
      <c r="G45" s="55"/>
    </row>
    <row r="46" spans="1:9" x14ac:dyDescent="0.3">
      <c r="A46" s="110" t="s">
        <v>1312</v>
      </c>
      <c r="B46" s="6">
        <f>'Ref. ACS-5-YR'!H1585</f>
        <v>1429</v>
      </c>
      <c r="C46" s="55">
        <f>B46/B45</f>
        <v>0.32640475102786659</v>
      </c>
      <c r="D46" s="6">
        <f>'Ref. ACS-5-YR'!R1585</f>
        <v>4154</v>
      </c>
      <c r="E46" s="55">
        <f>D46/D45</f>
        <v>0.44167995746943117</v>
      </c>
      <c r="F46" s="6">
        <f>'Ref. ACS-5-YR'!AB1585</f>
        <v>1722600</v>
      </c>
      <c r="G46" s="55">
        <f>F46/F45</f>
        <v>0.50215337686922845</v>
      </c>
    </row>
    <row r="47" spans="1:9" x14ac:dyDescent="0.3">
      <c r="A47" s="110" t="s">
        <v>1313</v>
      </c>
      <c r="B47" s="6">
        <f>'Ref. ACS-5-YR'!H1586</f>
        <v>1522</v>
      </c>
      <c r="C47" s="55">
        <f>B47/B45</f>
        <v>0.34764732754682504</v>
      </c>
      <c r="D47" s="6">
        <f>'Ref. ACS-5-YR'!R1586</f>
        <v>2378</v>
      </c>
      <c r="E47" s="55">
        <f>D47/D45</f>
        <v>0.2528442317916002</v>
      </c>
      <c r="F47" s="6">
        <f>'Ref. ACS-5-YR'!AB1586</f>
        <v>615734</v>
      </c>
      <c r="G47" s="55">
        <f>F47/F45</f>
        <v>0.17949199312272004</v>
      </c>
    </row>
    <row r="48" spans="1:9" x14ac:dyDescent="0.3">
      <c r="A48" s="110" t="s">
        <v>1314</v>
      </c>
      <c r="B48" s="6">
        <f>'Ref. ACS-5-YR'!H1587</f>
        <v>1294</v>
      </c>
      <c r="C48" s="55">
        <f>B48/B45</f>
        <v>0.29556875285518502</v>
      </c>
      <c r="D48" s="6">
        <f>'Ref. ACS-5-YR'!R1587</f>
        <v>2484</v>
      </c>
      <c r="E48" s="55">
        <f>D48/D45</f>
        <v>0.26411483253588519</v>
      </c>
      <c r="F48" s="6">
        <f>'Ref. ACS-5-YR'!AB1587</f>
        <v>858959</v>
      </c>
      <c r="G48" s="55">
        <f>F48/F45</f>
        <v>0.25039426590166936</v>
      </c>
    </row>
    <row r="49" spans="1:9" x14ac:dyDescent="0.3">
      <c r="A49" s="110" t="s">
        <v>1315</v>
      </c>
      <c r="B49" s="6">
        <f>'Ref. ACS-5-YR'!H1588</f>
        <v>133</v>
      </c>
      <c r="C49" s="55">
        <f>B49/B45</f>
        <v>3.0379168570123342E-2</v>
      </c>
      <c r="D49" s="6">
        <f>'Ref. ACS-5-YR'!R1588</f>
        <v>389</v>
      </c>
      <c r="E49" s="55">
        <f>D49/D45</f>
        <v>4.1360978203083466E-2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Madera</v>
      </c>
      <c r="C53" s="108" t="s">
        <v>179</v>
      </c>
      <c r="D53" s="108" t="str">
        <f>D23</f>
        <v>Madera County</v>
      </c>
      <c r="E53" s="108" t="s">
        <v>179</v>
      </c>
      <c r="F53" s="108" t="str">
        <f>F23</f>
        <v>California</v>
      </c>
      <c r="G53" s="108" t="s">
        <v>179</v>
      </c>
    </row>
    <row r="54" spans="1:9" x14ac:dyDescent="0.3">
      <c r="A54" s="110" t="s">
        <v>1317</v>
      </c>
      <c r="B54" s="6">
        <f>'Ref. ACS-5-YR'!H319</f>
        <v>1172</v>
      </c>
      <c r="C54" s="55">
        <f>B54/B56</f>
        <v>0.3497463443748135</v>
      </c>
      <c r="D54" s="6">
        <f>'Ref. ACS-5-YR'!R319</f>
        <v>1931</v>
      </c>
      <c r="E54" s="55">
        <f>D54/D56</f>
        <v>0.32071084537452249</v>
      </c>
      <c r="F54" s="6">
        <f>'Ref. ACS-5-YR'!AB319</f>
        <v>364236</v>
      </c>
      <c r="G54" s="55">
        <f>F54/F56</f>
        <v>0.21510753723260381</v>
      </c>
    </row>
    <row r="55" spans="1:9" x14ac:dyDescent="0.3">
      <c r="A55" s="110" t="s">
        <v>1318</v>
      </c>
      <c r="B55" s="6">
        <f>'Ref. ACS-5-YR'!H339</f>
        <v>2179</v>
      </c>
      <c r="C55" s="55">
        <f>B55/B56</f>
        <v>0.65025365562518656</v>
      </c>
      <c r="D55" s="6">
        <f>'Ref. ACS-5-YR'!R339</f>
        <v>4090</v>
      </c>
      <c r="E55" s="55">
        <f>D55/D56</f>
        <v>0.67928915462547745</v>
      </c>
      <c r="F55" s="6">
        <f>'Ref. ACS-5-YR'!AB339</f>
        <v>1329038</v>
      </c>
      <c r="G55" s="55">
        <f>F55/F56</f>
        <v>0.78489246276739622</v>
      </c>
    </row>
    <row r="56" spans="1:9" x14ac:dyDescent="0.3">
      <c r="A56" s="110" t="s">
        <v>174</v>
      </c>
      <c r="B56" s="6">
        <f>SUM(B54:B55)</f>
        <v>3351</v>
      </c>
      <c r="C56" s="55"/>
      <c r="D56" s="6">
        <f>SUM(D54:D55)</f>
        <v>6021</v>
      </c>
      <c r="E56" s="55"/>
      <c r="F56" s="6">
        <f>SUM(F54:F55)</f>
        <v>1693274</v>
      </c>
      <c r="G56" s="55"/>
    </row>
    <row r="57" spans="1:9" x14ac:dyDescent="0.3">
      <c r="A57" s="47" t="s">
        <v>1319</v>
      </c>
    </row>
    <row r="58" spans="1:9" ht="28.2" customHeight="1" x14ac:dyDescent="0.3">
      <c r="A58" s="359" t="s">
        <v>1320</v>
      </c>
      <c r="B58" s="359"/>
      <c r="C58" s="359"/>
      <c r="D58" s="359"/>
      <c r="E58" s="359"/>
      <c r="F58" s="359"/>
      <c r="G58" s="359"/>
    </row>
    <row r="59" spans="1:9" x14ac:dyDescent="0.3">
      <c r="A59" s="47"/>
      <c r="C59" s="54"/>
    </row>
    <row r="60" spans="1:9" x14ac:dyDescent="0.3">
      <c r="A60" s="1" t="s">
        <v>1321</v>
      </c>
    </row>
    <row r="61" spans="1:9" ht="28.8" x14ac:dyDescent="0.3">
      <c r="A61" s="48" t="s">
        <v>172</v>
      </c>
      <c r="B61" s="60" t="str">
        <f>B3</f>
        <v>City of Madera</v>
      </c>
      <c r="C61" s="60" t="s">
        <v>179</v>
      </c>
      <c r="D61" s="60" t="str">
        <f>B4</f>
        <v>Madera County</v>
      </c>
      <c r="E61" s="60" t="s">
        <v>179</v>
      </c>
      <c r="F61" s="60" t="s">
        <v>173</v>
      </c>
      <c r="G61" s="60" t="s">
        <v>179</v>
      </c>
      <c r="H61" s="269"/>
    </row>
    <row r="62" spans="1:9" x14ac:dyDescent="0.3">
      <c r="A62" s="13" t="s">
        <v>180</v>
      </c>
      <c r="B62" s="16">
        <f>'Ref. ACS-5-YR'!H223</f>
        <v>17598</v>
      </c>
      <c r="C62" s="55"/>
      <c r="D62" s="16">
        <f>'Ref. ACS-5-YR'!R223</f>
        <v>44479</v>
      </c>
      <c r="E62" s="55"/>
      <c r="F62" s="16">
        <f>'Ref. ACS-5-YR'!AB223</f>
        <v>13103114</v>
      </c>
      <c r="G62" s="55"/>
      <c r="H62" s="270"/>
    </row>
    <row r="63" spans="1:9" x14ac:dyDescent="0.3">
      <c r="A63" s="13" t="s">
        <v>1322</v>
      </c>
      <c r="B63" s="16">
        <f>'Ref. ACS-5-YR'!H224</f>
        <v>14271</v>
      </c>
      <c r="C63" s="55">
        <f>'Ref. ACS-5-YR'!I224</f>
        <v>0.81094442550289803</v>
      </c>
      <c r="D63" s="16">
        <f>'Ref. ACS-5-YR'!R224</f>
        <v>34966</v>
      </c>
      <c r="E63" s="55">
        <f>'Ref. ACS-5-YR'!S224</f>
        <v>0.7861237887542436</v>
      </c>
      <c r="F63" s="16">
        <f>'Ref. ACS-5-YR'!AB224</f>
        <v>8986666</v>
      </c>
      <c r="G63" s="55">
        <f>'Ref. ACS-5-YR'!AC224</f>
        <v>0.68600000000000005</v>
      </c>
      <c r="H63" s="270"/>
    </row>
    <row r="64" spans="1:9" x14ac:dyDescent="0.3">
      <c r="A64" s="13" t="s">
        <v>1323</v>
      </c>
      <c r="B64" s="16">
        <f>'Ref. ACS-5-YR'!H225</f>
        <v>3098</v>
      </c>
      <c r="C64" s="55">
        <f>'Ref. ACS-5-YR'!I225</f>
        <v>0.17604273212865099</v>
      </c>
      <c r="D64" s="16">
        <f>'Ref. ACS-5-YR'!R225</f>
        <v>11759</v>
      </c>
      <c r="E64" s="55">
        <f>'Ref. ACS-5-YR'!S225</f>
        <v>0.2643719508082466</v>
      </c>
      <c r="F64" s="16">
        <f>'Ref. ACS-5-YR'!AB225</f>
        <v>3209170</v>
      </c>
      <c r="G64" s="55">
        <f>'Ref. ACS-5-YR'!AC225</f>
        <v>0.245</v>
      </c>
      <c r="H64" s="270"/>
      <c r="I64" s="47" t="s">
        <v>1309</v>
      </c>
    </row>
    <row r="65" spans="1:9" x14ac:dyDescent="0.3">
      <c r="A65" s="13" t="s">
        <v>1324</v>
      </c>
      <c r="B65" s="16">
        <f>'Ref. ACS-5-YR'!H226</f>
        <v>3150</v>
      </c>
      <c r="C65" s="55">
        <f>'Ref. ACS-5-YR'!I226</f>
        <v>0.17899761336515513</v>
      </c>
      <c r="D65" s="16">
        <f>'Ref. ACS-5-YR'!R226</f>
        <v>6515</v>
      </c>
      <c r="E65" s="55">
        <f>'Ref. ACS-5-YR'!S226</f>
        <v>0.1464736167629668</v>
      </c>
      <c r="F65" s="16">
        <f>'Ref. ACS-5-YR'!AB226</f>
        <v>2054635</v>
      </c>
      <c r="G65" s="55">
        <f>'Ref. ACS-5-YR'!AC226</f>
        <v>0.157</v>
      </c>
      <c r="H65" s="270"/>
    </row>
    <row r="66" spans="1:9" x14ac:dyDescent="0.3">
      <c r="A66" s="13" t="s">
        <v>1325</v>
      </c>
      <c r="B66" s="16">
        <f>'Ref. ACS-5-YR'!H227</f>
        <v>3079</v>
      </c>
      <c r="C66" s="55">
        <f>'Ref. ACS-5-YR'!I227</f>
        <v>0.1749630639845437</v>
      </c>
      <c r="D66" s="16">
        <f>'Ref. ACS-5-YR'!R227</f>
        <v>6977</v>
      </c>
      <c r="E66" s="55">
        <f>'Ref. ACS-5-YR'!S227</f>
        <v>0.15686054092942736</v>
      </c>
      <c r="F66" s="16">
        <f>'Ref. ACS-5-YR'!AB227</f>
        <v>1945127</v>
      </c>
      <c r="G66" s="55">
        <f>'Ref. ACS-5-YR'!AC227</f>
        <v>0.14799999999999999</v>
      </c>
      <c r="H66" s="270"/>
    </row>
    <row r="67" spans="1:9" x14ac:dyDescent="0.3">
      <c r="A67" s="13" t="s">
        <v>1326</v>
      </c>
      <c r="B67" s="16">
        <f>'Ref. ACS-5-YR'!H228</f>
        <v>2275</v>
      </c>
      <c r="C67" s="55">
        <f>'Ref. ACS-5-YR'!I228</f>
        <v>0.12927605409705648</v>
      </c>
      <c r="D67" s="16">
        <f>'Ref. ACS-5-YR'!R228</f>
        <v>4703</v>
      </c>
      <c r="E67" s="55">
        <f>'Ref. ACS-5-YR'!S228</f>
        <v>0.10573529081139414</v>
      </c>
      <c r="F67" s="16">
        <f>'Ref. ACS-5-YR'!AB228</f>
        <v>1006126</v>
      </c>
      <c r="G67" s="55">
        <f>'Ref. ACS-5-YR'!AC228</f>
        <v>7.6999999999999999E-2</v>
      </c>
      <c r="H67" s="270"/>
    </row>
    <row r="68" spans="1:9" x14ac:dyDescent="0.3">
      <c r="A68" s="13" t="s">
        <v>1327</v>
      </c>
      <c r="B68" s="16">
        <f>'Ref. ACS-5-YR'!H229</f>
        <v>1547</v>
      </c>
      <c r="C68" s="55">
        <f>'Ref. ACS-5-YR'!I229</f>
        <v>8.7907716785998402E-2</v>
      </c>
      <c r="D68" s="16">
        <f>'Ref. ACS-5-YR'!R229</f>
        <v>2609</v>
      </c>
      <c r="E68" s="55">
        <f>'Ref. ACS-5-YR'!S229</f>
        <v>5.8656894264709186E-2</v>
      </c>
      <c r="F68" s="16">
        <f>'Ref. ACS-5-YR'!AB229</f>
        <v>433324</v>
      </c>
      <c r="G68" s="55">
        <f>'Ref. ACS-5-YR'!AC229</f>
        <v>3.3000000000000002E-2</v>
      </c>
      <c r="H68" s="270"/>
    </row>
    <row r="69" spans="1:9" x14ac:dyDescent="0.3">
      <c r="A69" s="13" t="s">
        <v>1328</v>
      </c>
      <c r="B69" s="16">
        <f>'Ref. ACS-5-YR'!H230</f>
        <v>1122</v>
      </c>
      <c r="C69" s="55">
        <f>'Ref. ACS-5-YR'!I230</f>
        <v>6.3757245141493349E-2</v>
      </c>
      <c r="D69" s="16">
        <f>'Ref. ACS-5-YR'!R230</f>
        <v>2403</v>
      </c>
      <c r="E69" s="55">
        <f>'Ref. ACS-5-YR'!S230</f>
        <v>5.4025495177499494E-2</v>
      </c>
      <c r="F69" s="16">
        <f>'Ref. ACS-5-YR'!AB230</f>
        <v>338284</v>
      </c>
      <c r="G69" s="55">
        <f>'Ref. ACS-5-YR'!AC230</f>
        <v>2.5999999999999999E-2</v>
      </c>
      <c r="H69" s="270"/>
    </row>
    <row r="70" spans="1:9" x14ac:dyDescent="0.3">
      <c r="A70" s="13" t="s">
        <v>1329</v>
      </c>
      <c r="B70" s="16">
        <f>'Ref. ACS-5-YR'!H231</f>
        <v>3327</v>
      </c>
      <c r="C70" s="55">
        <f>'Ref. ACS-5-YR'!I231</f>
        <v>0.18905557449710195</v>
      </c>
      <c r="D70" s="16">
        <f>'Ref. ACS-5-YR'!R231</f>
        <v>9513</v>
      </c>
      <c r="E70" s="55">
        <f>'Ref. ACS-5-YR'!S231</f>
        <v>0.21387621124575643</v>
      </c>
      <c r="F70" s="16">
        <f>'Ref. ACS-5-YR'!AB231</f>
        <v>4116448</v>
      </c>
      <c r="G70" s="55">
        <f>'Ref. ACS-5-YR'!AC231</f>
        <v>0.314</v>
      </c>
      <c r="H70" s="270"/>
    </row>
    <row r="71" spans="1:9" x14ac:dyDescent="0.3">
      <c r="A71" s="13" t="s">
        <v>1330</v>
      </c>
      <c r="B71" s="16">
        <f>'Ref. ACS-5-YR'!H232</f>
        <v>2494</v>
      </c>
      <c r="C71" s="55">
        <f>'Ref. ACS-5-YR'!I232</f>
        <v>0.14172065007387202</v>
      </c>
      <c r="D71" s="16">
        <f>'Ref. ACS-5-YR'!R232</f>
        <v>7388</v>
      </c>
      <c r="E71" s="55">
        <f>'Ref. ACS-5-YR'!S232</f>
        <v>0.16610085658400595</v>
      </c>
      <c r="F71" s="16">
        <f>'Ref. ACS-5-YR'!AB232</f>
        <v>3114819</v>
      </c>
      <c r="G71" s="55">
        <f>'Ref. ACS-5-YR'!AC232</f>
        <v>0.23799999999999999</v>
      </c>
      <c r="H71" s="270"/>
    </row>
    <row r="72" spans="1:9" x14ac:dyDescent="0.3">
      <c r="A72" s="13" t="s">
        <v>1323</v>
      </c>
      <c r="B72" s="16">
        <f>'Ref. ACS-5-YR'!H233</f>
        <v>585</v>
      </c>
      <c r="C72" s="55">
        <f>'Ref. ACS-5-YR'!I233</f>
        <v>3.3242413910671668E-2</v>
      </c>
      <c r="D72" s="16">
        <f>'Ref. ACS-5-YR'!R233</f>
        <v>1680</v>
      </c>
      <c r="E72" s="55">
        <f>'Ref. ACS-5-YR'!S233</f>
        <v>3.7770633332583917E-2</v>
      </c>
      <c r="F72" s="16">
        <f>'Ref. ACS-5-YR'!AB233</f>
        <v>774224</v>
      </c>
      <c r="G72" s="55">
        <f>'Ref. ACS-5-YR'!AC233</f>
        <v>5.8999999999999997E-2</v>
      </c>
      <c r="H72" s="270"/>
    </row>
    <row r="73" spans="1:9" x14ac:dyDescent="0.3">
      <c r="A73" s="13" t="s">
        <v>1324</v>
      </c>
      <c r="B73" s="16">
        <f>'Ref. ACS-5-YR'!H234</f>
        <v>68</v>
      </c>
      <c r="C73" s="55">
        <f>'Ref. ACS-5-YR'!I234</f>
        <v>3.8640754631208093E-3</v>
      </c>
      <c r="D73" s="16">
        <f>'Ref. ACS-5-YR'!R234</f>
        <v>118</v>
      </c>
      <c r="E73" s="55">
        <f>'Ref. ACS-5-YR'!S234</f>
        <v>2.6529373412172035E-3</v>
      </c>
      <c r="F73" s="16">
        <f>'Ref. ACS-5-YR'!AB234</f>
        <v>135683</v>
      </c>
      <c r="G73" s="55">
        <f>'Ref. ACS-5-YR'!AC234</f>
        <v>0.01</v>
      </c>
      <c r="H73" s="270"/>
    </row>
    <row r="74" spans="1:9" x14ac:dyDescent="0.3">
      <c r="A74" s="13" t="s">
        <v>1325</v>
      </c>
      <c r="B74" s="16">
        <f>'Ref. ACS-5-YR'!H235</f>
        <v>56</v>
      </c>
      <c r="C74" s="55">
        <f>'Ref. ACS-5-YR'!I235</f>
        <v>3.1821797931583136E-3</v>
      </c>
      <c r="D74" s="16">
        <f>'Ref. ACS-5-YR'!R235</f>
        <v>186</v>
      </c>
      <c r="E74" s="55">
        <f>'Ref. ACS-5-YR'!S235</f>
        <v>4.181748690393219E-3</v>
      </c>
      <c r="F74" s="16">
        <f>'Ref. ACS-5-YR'!AB235</f>
        <v>59938</v>
      </c>
      <c r="G74" s="55">
        <f>'Ref. ACS-5-YR'!AC235</f>
        <v>5.0000000000000001E-3</v>
      </c>
      <c r="H74" s="270"/>
    </row>
    <row r="75" spans="1:9" x14ac:dyDescent="0.3">
      <c r="A75" s="13" t="s">
        <v>1326</v>
      </c>
      <c r="B75" s="16">
        <f>'Ref. ACS-5-YR'!H236</f>
        <v>46</v>
      </c>
      <c r="C75" s="55">
        <f>'Ref. ACS-5-YR'!I236</f>
        <v>2.6139334015229001E-3</v>
      </c>
      <c r="D75" s="16">
        <f>'Ref. ACS-5-YR'!R236</f>
        <v>56</v>
      </c>
      <c r="E75" s="55">
        <f>'Ref. ACS-5-YR'!S236</f>
        <v>1.2590211110861305E-3</v>
      </c>
      <c r="F75" s="16">
        <f>'Ref. ACS-5-YR'!AB236</f>
        <v>19730</v>
      </c>
      <c r="G75" s="55">
        <f>'Ref. ACS-5-YR'!AC236</f>
        <v>2E-3</v>
      </c>
      <c r="H75" s="270"/>
    </row>
    <row r="76" spans="1:9" x14ac:dyDescent="0.3">
      <c r="A76" s="13" t="s">
        <v>1327</v>
      </c>
      <c r="B76" s="16">
        <f>'Ref. ACS-5-YR'!H237</f>
        <v>20</v>
      </c>
      <c r="C76" s="55">
        <f>'Ref. ACS-5-YR'!I237</f>
        <v>1.1364927832708263E-3</v>
      </c>
      <c r="D76" s="16">
        <f>'Ref. ACS-5-YR'!R237</f>
        <v>27</v>
      </c>
      <c r="E76" s="55">
        <f>'Ref. ACS-5-YR'!S237</f>
        <v>6.0702803570224153E-4</v>
      </c>
      <c r="F76" s="16">
        <f>'Ref. ACS-5-YR'!AB237</f>
        <v>6805</v>
      </c>
      <c r="G76" s="55">
        <f>'Ref. ACS-5-YR'!AC237</f>
        <v>1E-3</v>
      </c>
      <c r="H76" s="270"/>
    </row>
    <row r="77" spans="1:9" x14ac:dyDescent="0.3">
      <c r="A77" s="13" t="s">
        <v>1328</v>
      </c>
      <c r="B77" s="16">
        <f>'Ref. ACS-5-YR'!H238</f>
        <v>58</v>
      </c>
      <c r="C77" s="55">
        <f>'Ref. ACS-5-YR'!I238</f>
        <v>3.2958290714853963E-3</v>
      </c>
      <c r="D77" s="16">
        <f>'Ref. ACS-5-YR'!R238</f>
        <v>58</v>
      </c>
      <c r="E77" s="55">
        <f>'Ref. ACS-5-YR'!S238</f>
        <v>1.3039861507677781E-3</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Madera</v>
      </c>
      <c r="C81" s="60" t="str">
        <f>B4</f>
        <v>Madera County</v>
      </c>
      <c r="D81" s="60" t="s">
        <v>173</v>
      </c>
    </row>
    <row r="82" spans="1:9" x14ac:dyDescent="0.3">
      <c r="A82" s="13" t="s">
        <v>180</v>
      </c>
      <c r="B82" s="63">
        <f>'Ref. ACS-5-YR'!H1043</f>
        <v>3.68</v>
      </c>
      <c r="C82" s="63">
        <f>'Ref. ACS-5-YR'!R1043</f>
        <v>3.32</v>
      </c>
      <c r="D82" s="63">
        <f>'Ref. ACS-5-YR'!AB1043</f>
        <v>2.94</v>
      </c>
    </row>
    <row r="83" spans="1:9" x14ac:dyDescent="0.3">
      <c r="A83" s="13" t="s">
        <v>1334</v>
      </c>
      <c r="B83" s="63">
        <f>'Ref. ACS-5-YR'!H1044</f>
        <v>3.5</v>
      </c>
      <c r="C83" s="63">
        <f>'Ref. ACS-5-YR'!R1044</f>
        <v>3.13</v>
      </c>
      <c r="D83" s="63">
        <f>'Ref. ACS-5-YR'!AB1044</f>
        <v>3.01</v>
      </c>
    </row>
    <row r="84" spans="1:9" x14ac:dyDescent="0.3">
      <c r="A84" s="13" t="s">
        <v>1335</v>
      </c>
      <c r="B84" s="63">
        <f>'Ref. ACS-5-YR'!H1045</f>
        <v>3.86</v>
      </c>
      <c r="C84" s="63">
        <f>'Ref. ACS-5-YR'!R1045</f>
        <v>3.69</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Madera</v>
      </c>
      <c r="B89" s="63">
        <f>'Ref. ACS-5-YR'!B1043</f>
        <v>3.7</v>
      </c>
      <c r="C89" s="63">
        <f>'Ref. ACS-5-YR'!E1043</f>
        <v>3.73</v>
      </c>
      <c r="D89" s="63">
        <f>'Ref. ACS-5-YR'!H1043</f>
        <v>3.68</v>
      </c>
      <c r="I89"/>
    </row>
    <row r="90" spans="1:9" x14ac:dyDescent="0.3">
      <c r="A90" s="13" t="str">
        <f>B4</f>
        <v>Madera County</v>
      </c>
      <c r="B90" s="63">
        <f>'Ref. ACS-5-YR'!L1043</f>
        <v>3.3</v>
      </c>
      <c r="C90" s="63">
        <f>'Ref. ACS-5-YR'!O1043</f>
        <v>3.35</v>
      </c>
      <c r="D90" s="63">
        <f>'Ref. ACS-5-YR'!R1043</f>
        <v>3.32</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6535</v>
      </c>
      <c r="C97" s="55">
        <f>B97/$B$101</f>
        <v>0.74600456621004563</v>
      </c>
      <c r="D97" s="16">
        <f>'Ref. CHAS'!C24</f>
        <v>3835</v>
      </c>
      <c r="E97" s="55">
        <f>D97/$D$101</f>
        <v>0.4130317716747442</v>
      </c>
      <c r="F97" s="16">
        <f>'Ref. CHAS'!D24</f>
        <v>10370</v>
      </c>
      <c r="G97" s="55">
        <f>F97/$F$101</f>
        <v>0.57467442504848987</v>
      </c>
    </row>
    <row r="98" spans="1:9" x14ac:dyDescent="0.3">
      <c r="A98" s="69" t="s">
        <v>1343</v>
      </c>
      <c r="B98" s="16">
        <f>'Ref. CHAS'!B25</f>
        <v>1190</v>
      </c>
      <c r="C98" s="55">
        <f t="shared" ref="C98:C100" si="0">B98/$B$101</f>
        <v>0.13584474885844749</v>
      </c>
      <c r="D98" s="16">
        <f>'Ref. CHAS'!C25</f>
        <v>2710</v>
      </c>
      <c r="E98" s="55">
        <f t="shared" ref="E98:E100" si="1">D98/$D$101</f>
        <v>0.29186860527732905</v>
      </c>
      <c r="F98" s="16">
        <f>'Ref. CHAS'!D25</f>
        <v>3900</v>
      </c>
      <c r="G98" s="55">
        <f t="shared" ref="G98:G100" si="2">F98/$F$101</f>
        <v>0.21612635078969245</v>
      </c>
    </row>
    <row r="99" spans="1:9" x14ac:dyDescent="0.3">
      <c r="A99" s="69" t="s">
        <v>1344</v>
      </c>
      <c r="B99" s="16">
        <f>'Ref. CHAS'!B26</f>
        <v>965</v>
      </c>
      <c r="C99" s="55">
        <f t="shared" si="0"/>
        <v>0.11015981735159817</v>
      </c>
      <c r="D99" s="16">
        <f>'Ref. CHAS'!C26</f>
        <v>2510</v>
      </c>
      <c r="E99" s="55">
        <f t="shared" si="1"/>
        <v>0.27032848680667743</v>
      </c>
      <c r="F99" s="16">
        <f>'Ref. CHAS'!D26</f>
        <v>3475</v>
      </c>
      <c r="G99" s="55">
        <f t="shared" si="2"/>
        <v>0.19257412025491827</v>
      </c>
    </row>
    <row r="100" spans="1:9" x14ac:dyDescent="0.3">
      <c r="A100" s="69" t="s">
        <v>1345</v>
      </c>
      <c r="B100" s="16">
        <f>'Ref. CHAS'!B27</f>
        <v>70</v>
      </c>
      <c r="C100" s="55">
        <f t="shared" si="0"/>
        <v>7.9908675799086754E-3</v>
      </c>
      <c r="D100" s="16">
        <f>'Ref. CHAS'!C27</f>
        <v>230</v>
      </c>
      <c r="E100" s="55">
        <f t="shared" si="1"/>
        <v>2.4771136241249325E-2</v>
      </c>
      <c r="F100" s="16">
        <f>'Ref. CHAS'!D27</f>
        <v>300</v>
      </c>
      <c r="G100" s="55">
        <f t="shared" si="2"/>
        <v>1.6625103906899419E-2</v>
      </c>
    </row>
    <row r="101" spans="1:9" x14ac:dyDescent="0.3">
      <c r="A101" s="69" t="s">
        <v>174</v>
      </c>
      <c r="B101" s="16">
        <f>SUM(B97:B100)</f>
        <v>8760</v>
      </c>
      <c r="C101" s="55"/>
      <c r="D101" s="16">
        <f>SUM(D97:D100)</f>
        <v>9285</v>
      </c>
      <c r="E101" s="55"/>
      <c r="F101" s="16">
        <f>SUM(F97:F100)</f>
        <v>18045</v>
      </c>
      <c r="G101" s="55"/>
    </row>
    <row r="102" spans="1:9" x14ac:dyDescent="0.3">
      <c r="A102" s="47" t="s">
        <v>1346</v>
      </c>
    </row>
    <row r="103" spans="1:9" s="72" customFormat="1" x14ac:dyDescent="0.3">
      <c r="A103" s="355" t="s">
        <v>2470</v>
      </c>
      <c r="B103" s="355"/>
      <c r="C103" s="355"/>
      <c r="D103" s="355"/>
      <c r="E103" s="355"/>
      <c r="F103" s="355"/>
      <c r="G103" s="355"/>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1395</v>
      </c>
      <c r="C107" s="55">
        <f>B107/B109</f>
        <v>0.53550863723608444</v>
      </c>
      <c r="D107" s="16">
        <f>SUM('Ref. CHAS'!B63:B65)</f>
        <v>4785</v>
      </c>
      <c r="E107" s="55">
        <f>D107/D109</f>
        <v>0.73672055427251737</v>
      </c>
      <c r="F107" s="16">
        <f>SUM('Ref. CHAS'!B55:B57)</f>
        <v>6180</v>
      </c>
      <c r="G107" s="55">
        <f>F107/F109</f>
        <v>0.67912087912087915</v>
      </c>
      <c r="H107" s="274"/>
      <c r="I107" s="42"/>
    </row>
    <row r="108" spans="1:9" s="72" customFormat="1" x14ac:dyDescent="0.3">
      <c r="A108" s="69" t="s">
        <v>1344</v>
      </c>
      <c r="B108" s="16">
        <f>SUM('Ref. CHAS'!C71:C73)</f>
        <v>750</v>
      </c>
      <c r="C108" s="55">
        <f>B108/B109</f>
        <v>0.28790786948176583</v>
      </c>
      <c r="D108" s="16">
        <f>SUM('Ref. CHAS'!C63:C65)</f>
        <v>2510</v>
      </c>
      <c r="E108" s="55">
        <f>D108/D109</f>
        <v>0.38645111624326406</v>
      </c>
      <c r="F108" s="16">
        <f>SUM('Ref. CHAS'!C55:C57)</f>
        <v>3260</v>
      </c>
      <c r="G108" s="55">
        <f>F108/F109</f>
        <v>0.35824175824175825</v>
      </c>
      <c r="H108" s="274"/>
      <c r="I108" s="42"/>
    </row>
    <row r="109" spans="1:9" s="72" customFormat="1" x14ac:dyDescent="0.3">
      <c r="A109" s="69" t="s">
        <v>1349</v>
      </c>
      <c r="B109" s="16">
        <f>SUM('Ref. CHAS'!D71:D73)</f>
        <v>2605</v>
      </c>
      <c r="C109" s="55"/>
      <c r="D109" s="16">
        <f>SUM('Ref. CHAS'!D63:D65)</f>
        <v>6495</v>
      </c>
      <c r="E109" s="55"/>
      <c r="F109" s="16">
        <f>SUM('Ref. CHAS'!D55:D57)</f>
        <v>9100</v>
      </c>
      <c r="G109" s="55"/>
      <c r="H109" s="274"/>
      <c r="I109" s="42"/>
    </row>
    <row r="110" spans="1:9" s="72" customFormat="1" x14ac:dyDescent="0.3">
      <c r="A110" s="47" t="s">
        <v>1346</v>
      </c>
      <c r="B110"/>
      <c r="C110"/>
      <c r="D110"/>
      <c r="E110"/>
      <c r="F110"/>
      <c r="G110"/>
      <c r="H110" s="274"/>
      <c r="I110" s="42"/>
    </row>
    <row r="111" spans="1:9" s="72" customFormat="1" x14ac:dyDescent="0.3">
      <c r="A111" s="355" t="s">
        <v>2470</v>
      </c>
      <c r="B111" s="355"/>
      <c r="C111" s="355"/>
      <c r="D111" s="355"/>
      <c r="E111" s="355"/>
      <c r="F111" s="355"/>
      <c r="G111" s="355"/>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625</v>
      </c>
      <c r="C115" s="55">
        <f>B115/F115</f>
        <v>0.2022653721682848</v>
      </c>
      <c r="D115" s="16">
        <f>'Ref. CHAS'!C6</f>
        <v>2465</v>
      </c>
      <c r="E115" s="55">
        <f>D115/F115</f>
        <v>0.79773462783171523</v>
      </c>
      <c r="F115" s="16">
        <f>'Ref. CHAS'!D6</f>
        <v>3090</v>
      </c>
      <c r="H115" s="275"/>
      <c r="I115" s="61" t="s">
        <v>50</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550</v>
      </c>
      <c r="C120" s="55">
        <f>B120/B122</f>
        <v>0.88</v>
      </c>
      <c r="D120" s="16">
        <f>'Ref. CHAS'!B63</f>
        <v>1930</v>
      </c>
      <c r="E120" s="55">
        <f>D120/D122</f>
        <v>0.78296146044624748</v>
      </c>
      <c r="F120" s="16">
        <f>'Ref. CHAS'!B55</f>
        <v>2480</v>
      </c>
      <c r="G120" s="55">
        <f>F120/F122</f>
        <v>0.80258899676375406</v>
      </c>
    </row>
    <row r="121" spans="1:9" x14ac:dyDescent="0.3">
      <c r="A121" s="69" t="s">
        <v>1344</v>
      </c>
      <c r="B121" s="16">
        <f>'Ref. CHAS'!C71</f>
        <v>425</v>
      </c>
      <c r="C121" s="55">
        <f>B121/B122</f>
        <v>0.68</v>
      </c>
      <c r="D121" s="16">
        <f>'Ref. CHAS'!C63</f>
        <v>1615</v>
      </c>
      <c r="E121" s="55">
        <f>D121/D122</f>
        <v>0.65517241379310343</v>
      </c>
      <c r="F121" s="16">
        <f>'Ref. CHAS'!C55</f>
        <v>2040</v>
      </c>
      <c r="G121" s="55">
        <f>F121/F122</f>
        <v>0.66019417475728159</v>
      </c>
    </row>
    <row r="122" spans="1:9" x14ac:dyDescent="0.3">
      <c r="A122" s="69" t="s">
        <v>1352</v>
      </c>
      <c r="B122" s="16">
        <f>'Ref. CHAS'!D71</f>
        <v>625</v>
      </c>
      <c r="C122" s="55"/>
      <c r="D122" s="16">
        <f>'Ref. CHAS'!D63</f>
        <v>2465</v>
      </c>
      <c r="E122" s="55"/>
      <c r="F122" s="16">
        <f>'Ref. CHAS'!D55</f>
        <v>3090</v>
      </c>
      <c r="G122" s="55"/>
    </row>
    <row r="123" spans="1:9" x14ac:dyDescent="0.3">
      <c r="A123" s="47" t="s">
        <v>1346</v>
      </c>
    </row>
    <row r="124" spans="1:9" s="72" customFormat="1" x14ac:dyDescent="0.3">
      <c r="A124" s="355" t="s">
        <v>2470</v>
      </c>
      <c r="B124" s="355"/>
      <c r="C124" s="355"/>
      <c r="D124" s="355"/>
      <c r="E124" s="355"/>
      <c r="F124" s="355"/>
      <c r="G124" s="355"/>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550</v>
      </c>
      <c r="C128" s="55">
        <f>B128/B130</f>
        <v>0.88</v>
      </c>
      <c r="D128" s="16">
        <f>'Ref. CHAS'!B39</f>
        <v>1975</v>
      </c>
      <c r="E128" s="55">
        <f>D128/D130</f>
        <v>0.80121703853955373</v>
      </c>
      <c r="F128" s="16">
        <f>'Ref. CHAS'!B31</f>
        <v>2525</v>
      </c>
      <c r="G128" s="55">
        <f>F128/F130</f>
        <v>0.81715210355987056</v>
      </c>
      <c r="H128" s="274"/>
      <c r="I128" s="42"/>
    </row>
    <row r="129" spans="1:9" s="72" customFormat="1" x14ac:dyDescent="0.3">
      <c r="A129" s="13" t="s">
        <v>1355</v>
      </c>
      <c r="B129" s="16">
        <f>'Ref. CHAS'!C47</f>
        <v>80</v>
      </c>
      <c r="C129" s="55">
        <f>B129/B130</f>
        <v>0.128</v>
      </c>
      <c r="D129" s="16">
        <f>'Ref. CHAS'!C39</f>
        <v>490</v>
      </c>
      <c r="E129" s="55">
        <f>D129/D130</f>
        <v>0.19878296146044624</v>
      </c>
      <c r="F129" s="16">
        <f>'Ref. CHAS'!C31</f>
        <v>570</v>
      </c>
      <c r="G129" s="55">
        <f>F129/F130</f>
        <v>0.18446601941747573</v>
      </c>
      <c r="H129" s="274"/>
      <c r="I129" s="42"/>
    </row>
    <row r="130" spans="1:9" s="72" customFormat="1" x14ac:dyDescent="0.3">
      <c r="A130" s="13" t="s">
        <v>174</v>
      </c>
      <c r="B130" s="16">
        <f>'Ref. CHAS'!D47</f>
        <v>625</v>
      </c>
      <c r="C130" s="55"/>
      <c r="D130" s="16">
        <f>'Ref. CHAS'!D39</f>
        <v>2465</v>
      </c>
      <c r="E130" s="55"/>
      <c r="F130" s="16">
        <f>'Ref. CHAS'!D31</f>
        <v>3090</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Madera</v>
      </c>
      <c r="C135" s="60" t="s">
        <v>179</v>
      </c>
      <c r="D135" s="60" t="str">
        <f>B4</f>
        <v>Madera County</v>
      </c>
      <c r="E135" s="60" t="s">
        <v>179</v>
      </c>
      <c r="F135" s="60" t="s">
        <v>173</v>
      </c>
      <c r="G135" s="60" t="s">
        <v>179</v>
      </c>
      <c r="H135" s="269"/>
    </row>
    <row r="136" spans="1:9" x14ac:dyDescent="0.3">
      <c r="A136" s="13" t="s">
        <v>180</v>
      </c>
      <c r="B136" s="16">
        <f>'Ref. ACS-5-YR'!H848</f>
        <v>17598</v>
      </c>
      <c r="C136" s="55"/>
      <c r="D136" s="16">
        <f>'Ref. ACS-5-YR'!R848</f>
        <v>44479</v>
      </c>
      <c r="E136" s="55"/>
      <c r="F136" s="16">
        <f>'Ref. ACS-5-YR'!AB848</f>
        <v>13103114</v>
      </c>
      <c r="G136" s="55"/>
      <c r="H136" s="270"/>
    </row>
    <row r="137" spans="1:9" hidden="1" x14ac:dyDescent="0.3">
      <c r="A137" s="13" t="s">
        <v>1358</v>
      </c>
      <c r="B137" s="16">
        <f>'Ref. ACS-5-YR'!H849</f>
        <v>674</v>
      </c>
      <c r="C137" s="55">
        <v>4.7673832468495179E-2</v>
      </c>
      <c r="D137" s="16">
        <f>'Ref. ACS-5-YR'!R849</f>
        <v>984</v>
      </c>
      <c r="E137" s="55">
        <v>3.7150948666151359E-2</v>
      </c>
      <c r="F137" s="16">
        <f>'Ref. ACS-5-YR'!AB849</f>
        <v>359552</v>
      </c>
      <c r="G137" s="55">
        <v>2.8565348176739114E-2</v>
      </c>
      <c r="H137" s="270"/>
    </row>
    <row r="138" spans="1:9" hidden="1" x14ac:dyDescent="0.3">
      <c r="A138" s="13" t="s">
        <v>1359</v>
      </c>
      <c r="B138" s="16">
        <f>'Ref. ACS-5-YR'!H850</f>
        <v>36</v>
      </c>
      <c r="C138" s="55">
        <v>7.5908080059303188E-3</v>
      </c>
      <c r="D138" s="16">
        <f>'Ref. ACS-5-YR'!R850</f>
        <v>68</v>
      </c>
      <c r="E138" s="55">
        <v>5.7744896169610203E-3</v>
      </c>
      <c r="F138" s="16">
        <f>'Ref. ACS-5-YR'!AB850</f>
        <v>54257</v>
      </c>
      <c r="G138" s="55">
        <v>4.593819230610599E-3</v>
      </c>
      <c r="H138" s="270"/>
    </row>
    <row r="139" spans="1:9" hidden="1" x14ac:dyDescent="0.3">
      <c r="A139" s="13" t="s">
        <v>1360</v>
      </c>
      <c r="B139" s="16">
        <f>'Ref. ACS-5-YR'!H851</f>
        <v>0</v>
      </c>
      <c r="C139" s="55">
        <v>3.6827279466271311E-3</v>
      </c>
      <c r="D139" s="16">
        <f>'Ref. ACS-5-YR'!R851</f>
        <v>8</v>
      </c>
      <c r="E139" s="55">
        <v>2.8710060862730835E-3</v>
      </c>
      <c r="F139" s="16">
        <f>'Ref. ACS-5-YR'!AB851</f>
        <v>19701</v>
      </c>
      <c r="G139" s="55">
        <v>1.7038904297106484E-3</v>
      </c>
      <c r="H139" s="270"/>
    </row>
    <row r="140" spans="1:9" hidden="1" x14ac:dyDescent="0.3">
      <c r="A140" s="13" t="s">
        <v>1361</v>
      </c>
      <c r="B140" s="16">
        <f>'Ref. ACS-5-YR'!H852</f>
        <v>76</v>
      </c>
      <c r="C140" s="55">
        <v>5.3965900667160864E-3</v>
      </c>
      <c r="D140" s="16">
        <f>'Ref. ACS-5-YR'!R852</f>
        <v>117</v>
      </c>
      <c r="E140" s="55">
        <v>3.88755009645801E-3</v>
      </c>
      <c r="F140" s="16">
        <f>'Ref. ACS-5-YR'!AB852</f>
        <v>18723</v>
      </c>
      <c r="G140" s="55">
        <v>1.6447839993449995E-3</v>
      </c>
      <c r="H140" s="270"/>
    </row>
    <row r="141" spans="1:9" hidden="1" x14ac:dyDescent="0.3">
      <c r="A141" s="13" t="s">
        <v>1362</v>
      </c>
      <c r="B141" s="16">
        <f>'Ref. ACS-5-YR'!H853</f>
        <v>31</v>
      </c>
      <c r="C141" s="55">
        <v>5.1060044477390662E-3</v>
      </c>
      <c r="D141" s="16">
        <f>'Ref. ACS-5-YR'!R853</f>
        <v>53</v>
      </c>
      <c r="E141" s="55">
        <v>4.1830948406331803E-3</v>
      </c>
      <c r="F141" s="16">
        <f>'Ref. ACS-5-YR'!AB853</f>
        <v>21780</v>
      </c>
      <c r="G141" s="55">
        <v>1.8241731654352956E-3</v>
      </c>
      <c r="H141" s="270"/>
    </row>
    <row r="142" spans="1:9" hidden="1" x14ac:dyDescent="0.3">
      <c r="A142" s="13" t="s">
        <v>1363</v>
      </c>
      <c r="B142" s="16">
        <f>'Ref. ACS-5-YR'!H854</f>
        <v>50</v>
      </c>
      <c r="C142" s="55">
        <v>3.6649369903632321E-3</v>
      </c>
      <c r="D142" s="16">
        <f>'Ref. ACS-5-YR'!R854</f>
        <v>51</v>
      </c>
      <c r="E142" s="55">
        <v>2.6046910420712815E-3</v>
      </c>
      <c r="F142" s="16">
        <f>'Ref. ACS-5-YR'!AB854</f>
        <v>21246</v>
      </c>
      <c r="G142" s="55">
        <v>1.7190695129952118E-3</v>
      </c>
      <c r="H142" s="270"/>
    </row>
    <row r="143" spans="1:9" hidden="1" x14ac:dyDescent="0.3">
      <c r="A143" s="13" t="s">
        <v>1364</v>
      </c>
      <c r="B143" s="16">
        <f>'Ref. ACS-5-YR'!H855</f>
        <v>43</v>
      </c>
      <c r="C143" s="55">
        <v>3.9436619718309857E-3</v>
      </c>
      <c r="D143" s="16">
        <f>'Ref. ACS-5-YR'!R855</f>
        <v>68</v>
      </c>
      <c r="E143" s="55">
        <v>3.1275778971504289E-3</v>
      </c>
      <c r="F143" s="16">
        <f>'Ref. ACS-5-YR'!AB855</f>
        <v>21150</v>
      </c>
      <c r="G143" s="55">
        <v>1.7517275406680607E-3</v>
      </c>
      <c r="H143" s="270"/>
    </row>
    <row r="144" spans="1:9" hidden="1" x14ac:dyDescent="0.3">
      <c r="A144" s="13" t="s">
        <v>1365</v>
      </c>
      <c r="B144" s="16">
        <f>'Ref. ACS-5-YR'!H856</f>
        <v>35</v>
      </c>
      <c r="C144" s="55">
        <v>2.206078576723499E-3</v>
      </c>
      <c r="D144" s="16">
        <f>'Ref. ACS-5-YR'!R856</f>
        <v>51</v>
      </c>
      <c r="E144" s="55">
        <v>1.8771962871785544E-3</v>
      </c>
      <c r="F144" s="16">
        <f>'Ref. ACS-5-YR'!AB856</f>
        <v>18539</v>
      </c>
      <c r="G144" s="55">
        <v>1.5208214858543976E-3</v>
      </c>
      <c r="H144" s="270"/>
    </row>
    <row r="145" spans="1:8" hidden="1" x14ac:dyDescent="0.3">
      <c r="A145" s="13" t="s">
        <v>1366</v>
      </c>
      <c r="B145" s="16">
        <f>'Ref. ACS-5-YR'!H857</f>
        <v>80</v>
      </c>
      <c r="C145" s="55">
        <v>2.8880652335063011E-3</v>
      </c>
      <c r="D145" s="16">
        <f>'Ref. ACS-5-YR'!R857</f>
        <v>96</v>
      </c>
      <c r="E145" s="55">
        <v>2.3123940423375967E-3</v>
      </c>
      <c r="F145" s="16">
        <f>'Ref. ACS-5-YR'!AB857</f>
        <v>18777</v>
      </c>
      <c r="G145" s="55">
        <v>1.5122353377338366E-3</v>
      </c>
      <c r="H145" s="270"/>
    </row>
    <row r="146" spans="1:8" hidden="1" x14ac:dyDescent="0.3">
      <c r="A146" s="13" t="s">
        <v>1367</v>
      </c>
      <c r="B146" s="16">
        <f>'Ref. ACS-5-YR'!H858</f>
        <v>254</v>
      </c>
      <c r="C146" s="55">
        <v>1.6723498888065234E-3</v>
      </c>
      <c r="D146" s="16">
        <f>'Ref. ACS-5-YR'!R858</f>
        <v>254</v>
      </c>
      <c r="E146" s="55">
        <v>1.5037056764077349E-3</v>
      </c>
      <c r="F146" s="16">
        <f>'Ref. ACS-5-YR'!AB858</f>
        <v>16116</v>
      </c>
      <c r="G146" s="55">
        <v>1.244684829334207E-3</v>
      </c>
      <c r="H146" s="270"/>
    </row>
    <row r="147" spans="1:8" hidden="1" x14ac:dyDescent="0.3">
      <c r="A147" s="13" t="s">
        <v>1368</v>
      </c>
      <c r="B147" s="16">
        <f>'Ref. ACS-5-YR'!H859</f>
        <v>39</v>
      </c>
      <c r="C147" s="55">
        <v>3.6649369903632321E-3</v>
      </c>
      <c r="D147" s="16">
        <f>'Ref. ACS-5-YR'!R859</f>
        <v>71</v>
      </c>
      <c r="E147" s="55">
        <v>2.4098263755821582E-3</v>
      </c>
      <c r="F147" s="16">
        <f>'Ref. ACS-5-YR'!AB859</f>
        <v>29732</v>
      </c>
      <c r="G147" s="55">
        <v>2.3674770201711618E-3</v>
      </c>
      <c r="H147" s="270"/>
    </row>
    <row r="148" spans="1:8" hidden="1" x14ac:dyDescent="0.3">
      <c r="A148" s="13" t="s">
        <v>1369</v>
      </c>
      <c r="B148" s="16">
        <f>'Ref. ACS-5-YR'!H860</f>
        <v>0</v>
      </c>
      <c r="C148" s="55">
        <v>3.5819125277983693E-3</v>
      </c>
      <c r="D148" s="16">
        <f>'Ref. ACS-5-YR'!R860</f>
        <v>26</v>
      </c>
      <c r="E148" s="55">
        <v>2.8839970640390251E-3</v>
      </c>
      <c r="F148" s="16">
        <f>'Ref. ACS-5-YR'!AB860</f>
        <v>34492</v>
      </c>
      <c r="G148" s="55">
        <v>2.5556056584556002E-3</v>
      </c>
      <c r="H148" s="270"/>
    </row>
    <row r="149" spans="1:8" hidden="1" x14ac:dyDescent="0.3">
      <c r="A149" s="13" t="s">
        <v>1370</v>
      </c>
      <c r="B149" s="16">
        <f>'Ref. ACS-5-YR'!H861</f>
        <v>17</v>
      </c>
      <c r="C149" s="55">
        <v>1.8977020014825797E-3</v>
      </c>
      <c r="D149" s="16">
        <f>'Ref. ACS-5-YR'!R861</f>
        <v>59</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14</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35</v>
      </c>
      <c r="E151" s="55">
        <v>3.5725188856339273E-4</v>
      </c>
      <c r="F151" s="16">
        <f>'Ref. ACS-5-YR'!AB863</f>
        <v>11093</v>
      </c>
      <c r="G151" s="55">
        <v>7.3380901616081735E-4</v>
      </c>
      <c r="H151" s="270"/>
    </row>
    <row r="152" spans="1:8" hidden="1" x14ac:dyDescent="0.3">
      <c r="A152" s="13" t="s">
        <v>1373</v>
      </c>
      <c r="B152" s="16">
        <f>'Ref. ACS-5-YR'!H864</f>
        <v>13</v>
      </c>
      <c r="C152" s="55">
        <v>4.4477390659747963E-4</v>
      </c>
      <c r="D152" s="16">
        <f>'Ref. ACS-5-YR'!R864</f>
        <v>13</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0</v>
      </c>
      <c r="E153" s="55">
        <v>1.9161692204763792E-4</v>
      </c>
      <c r="F153" s="16">
        <f>'Ref. ACS-5-YR'!AB865</f>
        <v>9549</v>
      </c>
      <c r="G153" s="55">
        <v>6.2740210909529139E-4</v>
      </c>
      <c r="H153" s="270"/>
    </row>
    <row r="154" spans="1:8" hidden="1" x14ac:dyDescent="0.3">
      <c r="A154" s="13" t="s">
        <v>1375</v>
      </c>
      <c r="B154" s="16">
        <f>'Ref. ACS-5-YR'!H866</f>
        <v>7360</v>
      </c>
      <c r="C154" s="55">
        <v>0.3941349147516679</v>
      </c>
      <c r="D154" s="16">
        <f>'Ref. ACS-5-YR'!R866</f>
        <v>14645</v>
      </c>
      <c r="E154" s="55">
        <v>0.37070404604002521</v>
      </c>
      <c r="F154" s="16">
        <f>'Ref. ACS-5-YR'!AB866</f>
        <v>4474488</v>
      </c>
      <c r="G154" s="55">
        <v>0.34205335892414335</v>
      </c>
      <c r="H154" s="270"/>
    </row>
    <row r="155" spans="1:8" hidden="1" x14ac:dyDescent="0.3">
      <c r="A155" s="13" t="s">
        <v>1359</v>
      </c>
      <c r="B155" s="16">
        <f>'Ref. ACS-5-YR'!H867</f>
        <v>406</v>
      </c>
      <c r="C155" s="55">
        <v>3.0558932542624165E-2</v>
      </c>
      <c r="D155" s="16">
        <f>'Ref. ACS-5-YR'!R867</f>
        <v>689</v>
      </c>
      <c r="E155" s="55">
        <v>2.5199249121485127E-2</v>
      </c>
      <c r="F155" s="16">
        <f>'Ref. ACS-5-YR'!AB867</f>
        <v>172775</v>
      </c>
      <c r="G155" s="55">
        <v>1.3800469876955898E-2</v>
      </c>
      <c r="H155" s="270"/>
    </row>
    <row r="156" spans="1:8" hidden="1" x14ac:dyDescent="0.3">
      <c r="A156" s="13" t="s">
        <v>1360</v>
      </c>
      <c r="B156" s="16">
        <f>'Ref. ACS-5-YR'!H868</f>
        <v>329</v>
      </c>
      <c r="C156" s="55">
        <v>2.0969607116382506E-2</v>
      </c>
      <c r="D156" s="16">
        <f>'Ref. ACS-5-YR'!R868</f>
        <v>603</v>
      </c>
      <c r="E156" s="55">
        <v>1.772618916162725E-2</v>
      </c>
      <c r="F156" s="16">
        <f>'Ref. ACS-5-YR'!AB868</f>
        <v>101332</v>
      </c>
      <c r="G156" s="55">
        <v>8.5573231947278592E-3</v>
      </c>
      <c r="H156" s="270"/>
    </row>
    <row r="157" spans="1:8" hidden="1" x14ac:dyDescent="0.3">
      <c r="A157" s="13" t="s">
        <v>1361</v>
      </c>
      <c r="B157" s="16">
        <f>'Ref. ACS-5-YR'!H869</f>
        <v>328</v>
      </c>
      <c r="C157" s="55">
        <v>2.0702742772424017E-2</v>
      </c>
      <c r="D157" s="16">
        <f>'Ref. ACS-5-YR'!R869</f>
        <v>599</v>
      </c>
      <c r="E157" s="55">
        <v>1.7252018473170382E-2</v>
      </c>
      <c r="F157" s="16">
        <f>'Ref. ACS-5-YR'!AB869</f>
        <v>107030</v>
      </c>
      <c r="G157" s="55">
        <v>9.4124882151283944E-3</v>
      </c>
      <c r="H157" s="270"/>
    </row>
    <row r="158" spans="1:8" hidden="1" x14ac:dyDescent="0.3">
      <c r="A158" s="13" t="s">
        <v>1362</v>
      </c>
      <c r="B158" s="16">
        <f>'Ref. ACS-5-YR'!H870</f>
        <v>264</v>
      </c>
      <c r="C158" s="55">
        <v>2.4237212750185321E-2</v>
      </c>
      <c r="D158" s="16">
        <f>'Ref. ACS-5-YR'!R870</f>
        <v>505</v>
      </c>
      <c r="E158" s="55">
        <v>2.1003163303086006E-2</v>
      </c>
      <c r="F158" s="16">
        <f>'Ref. ACS-5-YR'!AB870</f>
        <v>133407</v>
      </c>
      <c r="G158" s="55">
        <v>1.138469577360658E-2</v>
      </c>
      <c r="H158" s="270"/>
    </row>
    <row r="159" spans="1:8" hidden="1" x14ac:dyDescent="0.3">
      <c r="A159" s="13" t="s">
        <v>1363</v>
      </c>
      <c r="B159" s="16">
        <f>'Ref. ACS-5-YR'!H871</f>
        <v>475</v>
      </c>
      <c r="C159" s="55">
        <v>2.1776130467012603E-2</v>
      </c>
      <c r="D159" s="16">
        <f>'Ref. ACS-5-YR'!R871</f>
        <v>805</v>
      </c>
      <c r="E159" s="55">
        <v>2.0753086981091632E-2</v>
      </c>
      <c r="F159" s="16">
        <f>'Ref. ACS-5-YR'!AB871</f>
        <v>142211</v>
      </c>
      <c r="G159" s="55">
        <v>1.1859847077635492E-2</v>
      </c>
      <c r="H159" s="270"/>
    </row>
    <row r="160" spans="1:8" hidden="1" x14ac:dyDescent="0.3">
      <c r="A160" s="13" t="s">
        <v>1364</v>
      </c>
      <c r="B160" s="16">
        <f>'Ref. ACS-5-YR'!H872</f>
        <v>594</v>
      </c>
      <c r="C160" s="55">
        <v>2.1568569310600444E-2</v>
      </c>
      <c r="D160" s="16">
        <f>'Ref. ACS-5-YR'!R872</f>
        <v>824</v>
      </c>
      <c r="E160" s="55">
        <v>2.0746591492208661E-2</v>
      </c>
      <c r="F160" s="16">
        <f>'Ref. ACS-5-YR'!AB872</f>
        <v>158629</v>
      </c>
      <c r="G160" s="55">
        <v>1.3173681064154933E-2</v>
      </c>
      <c r="H160" s="270"/>
    </row>
    <row r="161" spans="1:8" hidden="1" x14ac:dyDescent="0.3">
      <c r="A161" s="13" t="s">
        <v>1365</v>
      </c>
      <c r="B161" s="16">
        <f>'Ref. ACS-5-YR'!H873</f>
        <v>481</v>
      </c>
      <c r="C161" s="55">
        <v>1.7043736100815419E-2</v>
      </c>
      <c r="D161" s="16">
        <f>'Ref. ACS-5-YR'!R873</f>
        <v>758</v>
      </c>
      <c r="E161" s="55">
        <v>1.6875280117958077E-2</v>
      </c>
      <c r="F161" s="16">
        <f>'Ref. ACS-5-YR'!AB873</f>
        <v>149167</v>
      </c>
      <c r="G161" s="55">
        <v>1.2234801099578927E-2</v>
      </c>
      <c r="H161" s="270"/>
    </row>
    <row r="162" spans="1:8" hidden="1" x14ac:dyDescent="0.3">
      <c r="A162" s="13" t="s">
        <v>1366</v>
      </c>
      <c r="B162" s="16">
        <f>'Ref. ACS-5-YR'!H874</f>
        <v>407</v>
      </c>
      <c r="C162" s="55">
        <v>1.9220163083765753E-2</v>
      </c>
      <c r="D162" s="16">
        <f>'Ref. ACS-5-YR'!R874</f>
        <v>706</v>
      </c>
      <c r="E162" s="55">
        <v>1.7690463972770909E-2</v>
      </c>
      <c r="F162" s="16">
        <f>'Ref. ACS-5-YR'!AB874</f>
        <v>162714</v>
      </c>
      <c r="G162" s="55">
        <v>1.2689790287931877E-2</v>
      </c>
      <c r="H162" s="270"/>
    </row>
    <row r="163" spans="1:8" hidden="1" x14ac:dyDescent="0.3">
      <c r="A163" s="13" t="s">
        <v>1367</v>
      </c>
      <c r="B163" s="16">
        <f>'Ref. ACS-5-YR'!H875</f>
        <v>352</v>
      </c>
      <c r="C163" s="55">
        <v>1.6118606375092662E-2</v>
      </c>
      <c r="D163" s="16">
        <f>'Ref. ACS-5-YR'!R875</f>
        <v>759</v>
      </c>
      <c r="E163" s="55">
        <v>1.4410242086870669E-2</v>
      </c>
      <c r="F163" s="16">
        <f>'Ref. ACS-5-YR'!AB875</f>
        <v>141641</v>
      </c>
      <c r="G163" s="55">
        <v>1.1388452213409325E-2</v>
      </c>
      <c r="H163" s="270"/>
    </row>
    <row r="164" spans="1:8" hidden="1" x14ac:dyDescent="0.3">
      <c r="A164" s="13" t="s">
        <v>1368</v>
      </c>
      <c r="B164" s="16">
        <f>'Ref. ACS-5-YR'!H876</f>
        <v>520</v>
      </c>
      <c r="C164" s="55">
        <v>3.1988139362490731E-2</v>
      </c>
      <c r="D164" s="16">
        <f>'Ref. ACS-5-YR'!R876</f>
        <v>1088</v>
      </c>
      <c r="E164" s="55">
        <v>2.9940956006053794E-2</v>
      </c>
      <c r="F164" s="16">
        <f>'Ref. ACS-5-YR'!AB876</f>
        <v>300078</v>
      </c>
      <c r="G164" s="55">
        <v>2.3781100446740353E-2</v>
      </c>
      <c r="H164" s="270"/>
    </row>
    <row r="165" spans="1:8" hidden="1" x14ac:dyDescent="0.3">
      <c r="A165" s="13" t="s">
        <v>1369</v>
      </c>
      <c r="B165" s="16">
        <f>'Ref. ACS-5-YR'!H877</f>
        <v>731</v>
      </c>
      <c r="C165" s="55">
        <v>4.3795404002965159E-2</v>
      </c>
      <c r="D165" s="16">
        <f>'Ref. ACS-5-YR'!R877</f>
        <v>1909</v>
      </c>
      <c r="E165" s="55">
        <v>4.1054737484816792E-2</v>
      </c>
      <c r="F165" s="16">
        <f>'Ref. ACS-5-YR'!AB877</f>
        <v>428778</v>
      </c>
      <c r="G165" s="55">
        <v>3.2560820210198106E-2</v>
      </c>
      <c r="H165" s="270"/>
    </row>
    <row r="166" spans="1:8" hidden="1" x14ac:dyDescent="0.3">
      <c r="A166" s="13" t="s">
        <v>1370</v>
      </c>
      <c r="B166" s="16">
        <f>'Ref. ACS-5-YR'!H878</f>
        <v>1026</v>
      </c>
      <c r="C166" s="55">
        <v>5.0413639733135659E-2</v>
      </c>
      <c r="D166" s="16">
        <f>'Ref. ACS-5-YR'!R878</f>
        <v>2043</v>
      </c>
      <c r="E166" s="55">
        <v>4.7469032756750434E-2</v>
      </c>
      <c r="F166" s="16">
        <f>'Ref. ACS-5-YR'!AB878</f>
        <v>598398</v>
      </c>
      <c r="G166" s="55">
        <v>4.5974300125434422E-2</v>
      </c>
      <c r="H166" s="270"/>
    </row>
    <row r="167" spans="1:8" hidden="1" x14ac:dyDescent="0.3">
      <c r="A167" s="13" t="s">
        <v>1371</v>
      </c>
      <c r="B167" s="16">
        <f>'Ref. ACS-5-YR'!H879</f>
        <v>637</v>
      </c>
      <c r="C167" s="55">
        <v>2.8346923647146034E-2</v>
      </c>
      <c r="D167" s="16">
        <f>'Ref. ACS-5-YR'!R879</f>
        <v>1320</v>
      </c>
      <c r="E167" s="55">
        <v>2.8421011607438634E-2</v>
      </c>
      <c r="F167" s="16">
        <f>'Ref. ACS-5-YR'!AB879</f>
        <v>478880</v>
      </c>
      <c r="G167" s="55">
        <v>3.5904204958715193E-2</v>
      </c>
      <c r="H167" s="270"/>
    </row>
    <row r="168" spans="1:8" hidden="1" x14ac:dyDescent="0.3">
      <c r="A168" s="13" t="s">
        <v>1372</v>
      </c>
      <c r="B168" s="16">
        <f>'Ref. ACS-5-YR'!H880</f>
        <v>435</v>
      </c>
      <c r="C168" s="55">
        <v>1.8852483320978504E-2</v>
      </c>
      <c r="D168" s="16">
        <f>'Ref. ACS-5-YR'!R880</f>
        <v>974</v>
      </c>
      <c r="E168" s="55">
        <v>1.9340318149045486E-2</v>
      </c>
      <c r="F168" s="16">
        <f>'Ref. ACS-5-YR'!AB880</f>
        <v>352103</v>
      </c>
      <c r="G168" s="55">
        <v>2.5746255097833792E-2</v>
      </c>
      <c r="H168" s="270"/>
    </row>
    <row r="169" spans="1:8" hidden="1" x14ac:dyDescent="0.3">
      <c r="A169" s="13" t="s">
        <v>1373</v>
      </c>
      <c r="B169" s="16">
        <f>'Ref. ACS-5-YR'!H881</f>
        <v>209</v>
      </c>
      <c r="C169" s="55">
        <v>1.7168272794662712E-2</v>
      </c>
      <c r="D169" s="16">
        <f>'Ref. ACS-5-YR'!R881</f>
        <v>519</v>
      </c>
      <c r="E169" s="55">
        <v>1.9820984326385325E-2</v>
      </c>
      <c r="F169" s="16">
        <f>'Ref. ACS-5-YR'!AB881</f>
        <v>448068</v>
      </c>
      <c r="G169" s="55">
        <v>3.2509993279805853E-2</v>
      </c>
      <c r="H169" s="270"/>
    </row>
    <row r="170" spans="1:8" hidden="1" x14ac:dyDescent="0.3">
      <c r="A170" s="13" t="s">
        <v>1374</v>
      </c>
      <c r="B170" s="16">
        <f>'Ref. ACS-5-YR'!H882</f>
        <v>166</v>
      </c>
      <c r="C170" s="55">
        <v>1.1374351371386211E-2</v>
      </c>
      <c r="D170" s="16">
        <f>'Ref. ACS-5-YR'!R882</f>
        <v>544</v>
      </c>
      <c r="E170" s="55">
        <v>1.3000720999266011E-2</v>
      </c>
      <c r="F170" s="16">
        <f>'Ref. ACS-5-YR'!AB882</f>
        <v>599277</v>
      </c>
      <c r="G170" s="55">
        <v>4.1075136002286371E-2</v>
      </c>
      <c r="H170" s="270"/>
    </row>
    <row r="171" spans="1:8" hidden="1" x14ac:dyDescent="0.3">
      <c r="A171" s="13" t="s">
        <v>1376</v>
      </c>
      <c r="B171" s="16">
        <f>'Ref. ACS-5-YR'!H883</f>
        <v>6656</v>
      </c>
      <c r="C171" s="55">
        <v>0.3492008895478132</v>
      </c>
      <c r="D171" s="16">
        <f>'Ref. ACS-5-YR'!R883</f>
        <v>16812</v>
      </c>
      <c r="E171" s="55">
        <v>0.36356875150208179</v>
      </c>
      <c r="F171" s="16">
        <f>'Ref. ACS-5-YR'!AB883</f>
        <v>5070224</v>
      </c>
      <c r="G171" s="55">
        <v>0.39001144257561138</v>
      </c>
      <c r="H171" s="270"/>
    </row>
    <row r="172" spans="1:8" hidden="1" x14ac:dyDescent="0.3">
      <c r="A172" s="13" t="s">
        <v>1359</v>
      </c>
      <c r="B172" s="16">
        <f>'Ref. ACS-5-YR'!H884</f>
        <v>327</v>
      </c>
      <c r="C172" s="55">
        <v>2.7404002965159376E-2</v>
      </c>
      <c r="D172" s="16">
        <f>'Ref. ACS-5-YR'!R884</f>
        <v>778</v>
      </c>
      <c r="E172" s="55">
        <v>2.3289575389891719E-2</v>
      </c>
      <c r="F172" s="16">
        <f>'Ref. ACS-5-YR'!AB884</f>
        <v>215299</v>
      </c>
      <c r="G172" s="55">
        <v>1.6798875459914726E-2</v>
      </c>
      <c r="H172" s="270"/>
    </row>
    <row r="173" spans="1:8" hidden="1" x14ac:dyDescent="0.3">
      <c r="A173" s="13" t="s">
        <v>1360</v>
      </c>
      <c r="B173" s="16">
        <f>'Ref. ACS-5-YR'!H885</f>
        <v>379</v>
      </c>
      <c r="C173" s="55">
        <v>2.059006671608599E-2</v>
      </c>
      <c r="D173" s="16">
        <f>'Ref. ACS-5-YR'!R885</f>
        <v>694</v>
      </c>
      <c r="E173" s="55">
        <v>1.693049177346333E-2</v>
      </c>
      <c r="F173" s="16">
        <f>'Ref. ACS-5-YR'!AB885</f>
        <v>154532</v>
      </c>
      <c r="G173" s="55">
        <v>1.2835218171723882E-2</v>
      </c>
      <c r="H173" s="270"/>
    </row>
    <row r="174" spans="1:8" hidden="1" x14ac:dyDescent="0.3">
      <c r="A174" s="13" t="s">
        <v>1361</v>
      </c>
      <c r="B174" s="16">
        <f>'Ref. ACS-5-YR'!H886</f>
        <v>153</v>
      </c>
      <c r="C174" s="55">
        <v>1.6966641957005188E-2</v>
      </c>
      <c r="D174" s="16">
        <f>'Ref. ACS-5-YR'!R886</f>
        <v>386</v>
      </c>
      <c r="E174" s="55">
        <v>1.4660318408865043E-2</v>
      </c>
      <c r="F174" s="16">
        <f>'Ref. ACS-5-YR'!AB886</f>
        <v>120380</v>
      </c>
      <c r="G174" s="55">
        <v>1.0196357541313554E-2</v>
      </c>
      <c r="H174" s="270"/>
    </row>
    <row r="175" spans="1:8" hidden="1" x14ac:dyDescent="0.3">
      <c r="A175" s="13" t="s">
        <v>1362</v>
      </c>
      <c r="B175" s="16">
        <f>'Ref. ACS-5-YR'!H887</f>
        <v>301</v>
      </c>
      <c r="C175" s="55">
        <v>1.847887323943662E-2</v>
      </c>
      <c r="D175" s="16">
        <f>'Ref. ACS-5-YR'!R887</f>
        <v>535</v>
      </c>
      <c r="E175" s="55">
        <v>1.7355946295297915E-2</v>
      </c>
      <c r="F175" s="16">
        <f>'Ref. ACS-5-YR'!AB887</f>
        <v>145227</v>
      </c>
      <c r="G175" s="55">
        <v>1.1783108378807975E-2</v>
      </c>
      <c r="H175" s="270"/>
    </row>
    <row r="176" spans="1:8" hidden="1" x14ac:dyDescent="0.3">
      <c r="A176" s="13" t="s">
        <v>1363</v>
      </c>
      <c r="B176" s="16">
        <f>'Ref. ACS-5-YR'!H888</f>
        <v>404</v>
      </c>
      <c r="C176" s="55">
        <v>1.3141586360266865E-2</v>
      </c>
      <c r="D176" s="16">
        <f>'Ref. ACS-5-YR'!R888</f>
        <v>660</v>
      </c>
      <c r="E176" s="55">
        <v>1.3900346209557463E-2</v>
      </c>
      <c r="F176" s="16">
        <f>'Ref. ACS-5-YR'!AB888</f>
        <v>134811</v>
      </c>
      <c r="G176" s="55">
        <v>1.0918590589918974E-2</v>
      </c>
      <c r="H176" s="270"/>
    </row>
    <row r="177" spans="1:8" hidden="1" x14ac:dyDescent="0.3">
      <c r="A177" s="13" t="s">
        <v>1364</v>
      </c>
      <c r="B177" s="16">
        <f>'Ref. ACS-5-YR'!H889</f>
        <v>280</v>
      </c>
      <c r="C177" s="55">
        <v>1.5246849518161602E-2</v>
      </c>
      <c r="D177" s="16">
        <f>'Ref. ACS-5-YR'!R889</f>
        <v>613</v>
      </c>
      <c r="E177" s="55">
        <v>1.6079582729794158E-2</v>
      </c>
      <c r="F177" s="16">
        <f>'Ref. ACS-5-YR'!AB889</f>
        <v>149463</v>
      </c>
      <c r="G177" s="55">
        <v>1.2028196910427924E-2</v>
      </c>
      <c r="H177" s="270"/>
    </row>
    <row r="178" spans="1:8" hidden="1" x14ac:dyDescent="0.3">
      <c r="A178" s="13" t="s">
        <v>1365</v>
      </c>
      <c r="B178" s="16">
        <f>'Ref. ACS-5-YR'!H890</f>
        <v>431</v>
      </c>
      <c r="C178" s="55">
        <v>1.1653076352853967E-2</v>
      </c>
      <c r="D178" s="16">
        <f>'Ref. ACS-5-YR'!R890</f>
        <v>875</v>
      </c>
      <c r="E178" s="55">
        <v>1.2607743921846278E-2</v>
      </c>
      <c r="F178" s="16">
        <f>'Ref. ACS-5-YR'!AB890</f>
        <v>138441</v>
      </c>
      <c r="G178" s="55">
        <v>1.1373043144014388E-2</v>
      </c>
      <c r="H178" s="270"/>
    </row>
    <row r="179" spans="1:8" hidden="1" x14ac:dyDescent="0.3">
      <c r="A179" s="13" t="s">
        <v>1366</v>
      </c>
      <c r="B179" s="16">
        <f>'Ref. ACS-5-YR'!H891</f>
        <v>191</v>
      </c>
      <c r="C179" s="55">
        <v>1.4499629355077835E-2</v>
      </c>
      <c r="D179" s="16">
        <f>'Ref. ACS-5-YR'!R891</f>
        <v>627</v>
      </c>
      <c r="E179" s="55">
        <v>1.5196196241710133E-2</v>
      </c>
      <c r="F179" s="16">
        <f>'Ref. ACS-5-YR'!AB891</f>
        <v>155952</v>
      </c>
      <c r="G179" s="55">
        <v>1.2048972322398209E-2</v>
      </c>
      <c r="H179" s="270"/>
    </row>
    <row r="180" spans="1:8" hidden="1" x14ac:dyDescent="0.3">
      <c r="A180" s="13" t="s">
        <v>1367</v>
      </c>
      <c r="B180" s="16">
        <f>'Ref. ACS-5-YR'!H892</f>
        <v>258</v>
      </c>
      <c r="C180" s="55">
        <v>1.3159377316530763E-2</v>
      </c>
      <c r="D180" s="16">
        <f>'Ref. ACS-5-YR'!R892</f>
        <v>695</v>
      </c>
      <c r="E180" s="55">
        <v>1.242262248868161E-2</v>
      </c>
      <c r="F180" s="16">
        <f>'Ref. ACS-5-YR'!AB892</f>
        <v>140200</v>
      </c>
      <c r="G180" s="55">
        <v>1.1521384185204441E-2</v>
      </c>
      <c r="H180" s="270"/>
    </row>
    <row r="181" spans="1:8" hidden="1" x14ac:dyDescent="0.3">
      <c r="A181" s="13" t="s">
        <v>1368</v>
      </c>
      <c r="B181" s="16">
        <f>'Ref. ACS-5-YR'!H893</f>
        <v>521</v>
      </c>
      <c r="C181" s="55">
        <v>2.5808747220163082E-2</v>
      </c>
      <c r="D181" s="16">
        <f>'Ref. ACS-5-YR'!R893</f>
        <v>958</v>
      </c>
      <c r="E181" s="55">
        <v>2.4195696089066143E-2</v>
      </c>
      <c r="F181" s="16">
        <f>'Ref. ACS-5-YR'!AB893</f>
        <v>298933</v>
      </c>
      <c r="G181" s="55">
        <v>2.3611370697285687E-2</v>
      </c>
      <c r="H181" s="270"/>
    </row>
    <row r="182" spans="1:8" hidden="1" x14ac:dyDescent="0.3">
      <c r="A182" s="13" t="s">
        <v>1369</v>
      </c>
      <c r="B182" s="16">
        <f>'Ref. ACS-5-YR'!H894</f>
        <v>618</v>
      </c>
      <c r="C182" s="55">
        <v>3.3559673832468495E-2</v>
      </c>
      <c r="D182" s="16">
        <f>'Ref. ACS-5-YR'!R894</f>
        <v>1740</v>
      </c>
      <c r="E182" s="55">
        <v>3.5124356134664476E-2</v>
      </c>
      <c r="F182" s="16">
        <f>'Ref. ACS-5-YR'!AB894</f>
        <v>419518</v>
      </c>
      <c r="G182" s="55">
        <v>3.2930024579382239E-2</v>
      </c>
      <c r="H182" s="270"/>
    </row>
    <row r="183" spans="1:8" hidden="1" x14ac:dyDescent="0.3">
      <c r="A183" s="13" t="s">
        <v>1370</v>
      </c>
      <c r="B183" s="16">
        <f>'Ref. ACS-5-YR'!H895</f>
        <v>1031</v>
      </c>
      <c r="C183" s="55">
        <v>4.268643439584878E-2</v>
      </c>
      <c r="D183" s="16">
        <f>'Ref. ACS-5-YR'!R895</f>
        <v>2781</v>
      </c>
      <c r="E183" s="55">
        <v>4.7897735023026508E-2</v>
      </c>
      <c r="F183" s="16">
        <f>'Ref. ACS-5-YR'!AB895</f>
        <v>627473</v>
      </c>
      <c r="G183" s="55">
        <v>4.9514936294614044E-2</v>
      </c>
      <c r="H183" s="270"/>
    </row>
    <row r="184" spans="1:8" hidden="1" x14ac:dyDescent="0.3">
      <c r="A184" s="13" t="s">
        <v>1371</v>
      </c>
      <c r="B184" s="16">
        <f>'Ref. ACS-5-YR'!H896</f>
        <v>921</v>
      </c>
      <c r="C184" s="55">
        <v>3.4099332839140101E-2</v>
      </c>
      <c r="D184" s="16">
        <f>'Ref. ACS-5-YR'!R896</f>
        <v>2082</v>
      </c>
      <c r="E184" s="55">
        <v>3.6660539255487061E-2</v>
      </c>
      <c r="F184" s="16">
        <f>'Ref. ACS-5-YR'!AB896</f>
        <v>540673</v>
      </c>
      <c r="G184" s="55">
        <v>4.1022929155231883E-2</v>
      </c>
      <c r="H184" s="270"/>
    </row>
    <row r="185" spans="1:8" hidden="1" x14ac:dyDescent="0.3">
      <c r="A185" s="13" t="s">
        <v>1372</v>
      </c>
      <c r="B185" s="16">
        <f>'Ref. ACS-5-YR'!H897</f>
        <v>419</v>
      </c>
      <c r="C185" s="55">
        <v>1.681245366938473E-2</v>
      </c>
      <c r="D185" s="16">
        <f>'Ref. ACS-5-YR'!R897</f>
        <v>1293</v>
      </c>
      <c r="E185" s="55">
        <v>2.1883302046728548E-2</v>
      </c>
      <c r="F185" s="16">
        <f>'Ref. ACS-5-YR'!AB897</f>
        <v>406789</v>
      </c>
      <c r="G185" s="55">
        <v>3.058232636470308E-2</v>
      </c>
      <c r="H185" s="270"/>
    </row>
    <row r="186" spans="1:8" hidden="1" x14ac:dyDescent="0.3">
      <c r="A186" s="13" t="s">
        <v>1373</v>
      </c>
      <c r="B186" s="16">
        <f>'Ref. ACS-5-YR'!H898</f>
        <v>319</v>
      </c>
      <c r="C186" s="55">
        <v>2.2161601186063751E-2</v>
      </c>
      <c r="D186" s="16">
        <f>'Ref. ACS-5-YR'!R898</f>
        <v>1185</v>
      </c>
      <c r="E186" s="55">
        <v>2.8161192052119803E-2</v>
      </c>
      <c r="F186" s="16">
        <f>'Ref. ACS-5-YR'!AB898</f>
        <v>563596</v>
      </c>
      <c r="G186" s="55">
        <v>4.1732896277950786E-2</v>
      </c>
      <c r="H186" s="270"/>
    </row>
    <row r="187" spans="1:8" hidden="1" x14ac:dyDescent="0.3">
      <c r="A187" s="13" t="s">
        <v>1374</v>
      </c>
      <c r="B187" s="16">
        <f>'Ref. ACS-5-YR'!H899</f>
        <v>103</v>
      </c>
      <c r="C187" s="55">
        <v>2.2932542624166049E-2</v>
      </c>
      <c r="D187" s="16">
        <f>'Ref. ACS-5-YR'!R899</f>
        <v>910</v>
      </c>
      <c r="E187" s="55">
        <v>2.7203107441881612E-2</v>
      </c>
      <c r="F187" s="16">
        <f>'Ref. ACS-5-YR'!AB899</f>
        <v>858937</v>
      </c>
      <c r="G187" s="55">
        <v>6.1113212502719588E-2</v>
      </c>
      <c r="H187" s="270"/>
    </row>
    <row r="188" spans="1:8" x14ac:dyDescent="0.3">
      <c r="A188" s="13" t="s">
        <v>1377</v>
      </c>
      <c r="B188" s="16">
        <f>'Ref. ACS-5-YR'!H900</f>
        <v>2908</v>
      </c>
      <c r="C188" s="55">
        <f>B188/B136</f>
        <v>0.16524605068757814</v>
      </c>
      <c r="D188" s="16">
        <f>'Ref. ACS-5-YR'!R900</f>
        <v>12038</v>
      </c>
      <c r="E188" s="55">
        <f>D188/D136</f>
        <v>0.27064457384383644</v>
      </c>
      <c r="F188" s="16">
        <f>'Ref. ACS-5-YR'!AB900</f>
        <v>3198850</v>
      </c>
      <c r="G188" s="55">
        <f>F188/F136</f>
        <v>0.24412899101694452</v>
      </c>
      <c r="H188" s="270"/>
    </row>
    <row r="189" spans="1:8" x14ac:dyDescent="0.3">
      <c r="A189" s="13" t="s">
        <v>1359</v>
      </c>
      <c r="B189" s="16">
        <f>'Ref. ACS-5-YR'!H901</f>
        <v>321</v>
      </c>
      <c r="C189" s="55">
        <f>B189/B188</f>
        <v>0.11038514442916093</v>
      </c>
      <c r="D189" s="16">
        <f>'Ref. ACS-5-YR'!R901</f>
        <v>669</v>
      </c>
      <c r="E189" s="55">
        <f>D189/D188</f>
        <v>5.5574015617212161E-2</v>
      </c>
      <c r="F189" s="16">
        <f>'Ref. ACS-5-YR'!AB901</f>
        <v>172556</v>
      </c>
      <c r="G189" s="55">
        <f>F189/F188</f>
        <v>5.3943135814433309E-2</v>
      </c>
      <c r="H189" s="270"/>
    </row>
    <row r="190" spans="1:8" x14ac:dyDescent="0.3">
      <c r="A190" s="13" t="s">
        <v>1360</v>
      </c>
      <c r="B190" s="16">
        <f>'Ref. ACS-5-YR'!H902</f>
        <v>323</v>
      </c>
      <c r="C190" s="55">
        <f>B190/B188</f>
        <v>0.1110729023383769</v>
      </c>
      <c r="D190" s="16">
        <f>'Ref. ACS-5-YR'!R902</f>
        <v>618</v>
      </c>
      <c r="E190" s="55">
        <f>D190/D188</f>
        <v>5.1337431467021098E-2</v>
      </c>
      <c r="F190" s="16">
        <f>'Ref. ACS-5-YR'!AB902</f>
        <v>231833</v>
      </c>
      <c r="G190" s="55">
        <f>F190/F188</f>
        <v>7.2473857792644231E-2</v>
      </c>
      <c r="H190" s="270"/>
    </row>
    <row r="191" spans="1:8" x14ac:dyDescent="0.3">
      <c r="A191" s="13" t="s">
        <v>1361</v>
      </c>
      <c r="B191" s="16">
        <f>'Ref. ACS-5-YR'!H903</f>
        <v>264</v>
      </c>
      <c r="C191" s="55">
        <f>B191/B188</f>
        <v>9.0784044016506193E-2</v>
      </c>
      <c r="D191" s="16">
        <f>'Ref. ACS-5-YR'!R903</f>
        <v>654</v>
      </c>
      <c r="E191" s="55">
        <f>D191/D188</f>
        <v>5.432796145539126E-2</v>
      </c>
      <c r="F191" s="16">
        <f>'Ref. ACS-5-YR'!AB903</f>
        <v>189249</v>
      </c>
      <c r="G191" s="55">
        <f>F191/F188</f>
        <v>5.916157369054504E-2</v>
      </c>
      <c r="H191" s="270"/>
    </row>
    <row r="192" spans="1:8" x14ac:dyDescent="0.3">
      <c r="A192" s="13" t="s">
        <v>1362</v>
      </c>
      <c r="B192" s="16">
        <f>'Ref. ACS-5-YR'!H904</f>
        <v>152</v>
      </c>
      <c r="C192" s="55">
        <f>B192/B188</f>
        <v>5.2269601100412656E-2</v>
      </c>
      <c r="D192" s="16">
        <f>'Ref. ACS-5-YR'!R904</f>
        <v>658</v>
      </c>
      <c r="E192" s="55">
        <f>D192/D188</f>
        <v>5.4660242565210168E-2</v>
      </c>
      <c r="F192" s="16">
        <f>'Ref. ACS-5-YR'!AB904</f>
        <v>173679</v>
      </c>
      <c r="G192" s="55">
        <f>F192/F188</f>
        <v>5.4294199477937385E-2</v>
      </c>
      <c r="H192" s="270"/>
    </row>
    <row r="193" spans="1:9" x14ac:dyDescent="0.3">
      <c r="A193" s="13" t="s">
        <v>1363</v>
      </c>
      <c r="B193" s="16">
        <f>'Ref. ACS-5-YR'!H905</f>
        <v>325</v>
      </c>
      <c r="C193" s="55">
        <f>B193/B188</f>
        <v>0.11176066024759285</v>
      </c>
      <c r="D193" s="16">
        <f>'Ref. ACS-5-YR'!R905</f>
        <v>703</v>
      </c>
      <c r="E193" s="55">
        <f>D193/D188</f>
        <v>5.8398405050672869E-2</v>
      </c>
      <c r="F193" s="16">
        <f>'Ref. ACS-5-YR'!AB905</f>
        <v>156105</v>
      </c>
      <c r="G193" s="55">
        <f>F193/F188</f>
        <v>4.8800350125826467E-2</v>
      </c>
      <c r="H193" s="270"/>
    </row>
    <row r="194" spans="1:9" x14ac:dyDescent="0.3">
      <c r="A194" s="13" t="s">
        <v>1364</v>
      </c>
      <c r="B194" s="16">
        <f>'Ref. ACS-5-YR'!H906</f>
        <v>132</v>
      </c>
      <c r="C194" s="55">
        <f>B194/B188</f>
        <v>4.5392022008253097E-2</v>
      </c>
      <c r="D194" s="16">
        <f>'Ref. ACS-5-YR'!R906</f>
        <v>659</v>
      </c>
      <c r="E194" s="55">
        <f>D194/D188</f>
        <v>5.4743312842664892E-2</v>
      </c>
      <c r="F194" s="16">
        <f>'Ref. ACS-5-YR'!AB906</f>
        <v>146101</v>
      </c>
      <c r="G194" s="55">
        <f>F194/F188</f>
        <v>4.5672976225831156E-2</v>
      </c>
      <c r="H194" s="270"/>
    </row>
    <row r="195" spans="1:9" x14ac:dyDescent="0.3">
      <c r="A195" s="13" t="s">
        <v>1365</v>
      </c>
      <c r="B195" s="16">
        <f>'Ref. ACS-5-YR'!H907</f>
        <v>181</v>
      </c>
      <c r="C195" s="55">
        <f>B195/B188</f>
        <v>6.2242090784044017E-2</v>
      </c>
      <c r="D195" s="16">
        <f>'Ref. ACS-5-YR'!R907</f>
        <v>696</v>
      </c>
      <c r="E195" s="55">
        <f>D195/D188</f>
        <v>5.7816913108489784E-2</v>
      </c>
      <c r="F195" s="16">
        <f>'Ref. ACS-5-YR'!AB907</f>
        <v>133947</v>
      </c>
      <c r="G195" s="55">
        <f>F195/F188</f>
        <v>4.1873485783953605E-2</v>
      </c>
      <c r="H195" s="270"/>
    </row>
    <row r="196" spans="1:9" x14ac:dyDescent="0.3">
      <c r="A196" s="13" t="s">
        <v>1366</v>
      </c>
      <c r="B196" s="16">
        <f>'Ref. ACS-5-YR'!H908</f>
        <v>102</v>
      </c>
      <c r="C196" s="55">
        <f>B196/B188</f>
        <v>3.5075653370013754E-2</v>
      </c>
      <c r="D196" s="16">
        <f>'Ref. ACS-5-YR'!R908</f>
        <v>483</v>
      </c>
      <c r="E196" s="55">
        <f>D196/D188</f>
        <v>4.0122944010632995E-2</v>
      </c>
      <c r="F196" s="16">
        <f>'Ref. ACS-5-YR'!AB908</f>
        <v>124511</v>
      </c>
      <c r="G196" s="55">
        <f>F196/F188</f>
        <v>3.892367569595323E-2</v>
      </c>
      <c r="H196" s="270"/>
    </row>
    <row r="197" spans="1:9" x14ac:dyDescent="0.3">
      <c r="A197" s="13" t="s">
        <v>1367</v>
      </c>
      <c r="B197" s="16">
        <f>'Ref. ACS-5-YR'!H909</f>
        <v>160</v>
      </c>
      <c r="C197" s="55">
        <f>B197/B188</f>
        <v>5.5020632737276476E-2</v>
      </c>
      <c r="D197" s="16">
        <f>'Ref. ACS-5-YR'!R909</f>
        <v>501</v>
      </c>
      <c r="E197" s="55">
        <f>D197/D188</f>
        <v>4.1618209004818073E-2</v>
      </c>
      <c r="F197" s="16">
        <f>'Ref. ACS-5-YR'!AB909</f>
        <v>116059</v>
      </c>
      <c r="G197" s="55">
        <f>F197/F188</f>
        <v>3.6281476155493382E-2</v>
      </c>
      <c r="H197" s="270"/>
    </row>
    <row r="198" spans="1:9" x14ac:dyDescent="0.3">
      <c r="A198" s="13" t="s">
        <v>1368</v>
      </c>
      <c r="B198" s="16">
        <f>'Ref. ACS-5-YR'!H910</f>
        <v>137</v>
      </c>
      <c r="C198" s="55">
        <f>B198/B188</f>
        <v>4.7111416781292985E-2</v>
      </c>
      <c r="D198" s="16">
        <f>'Ref. ACS-5-YR'!R910</f>
        <v>1065</v>
      </c>
      <c r="E198" s="55">
        <f>D198/D188</f>
        <v>8.8469845489283938E-2</v>
      </c>
      <c r="F198" s="16">
        <f>'Ref. ACS-5-YR'!AB910</f>
        <v>216099</v>
      </c>
      <c r="G198" s="55">
        <f>F198/F188</f>
        <v>6.7555215155446491E-2</v>
      </c>
      <c r="H198" s="270"/>
    </row>
    <row r="199" spans="1:9" x14ac:dyDescent="0.3">
      <c r="A199" s="13" t="s">
        <v>1369</v>
      </c>
      <c r="B199" s="16">
        <f>'Ref. ACS-5-YR'!H911</f>
        <v>212</v>
      </c>
      <c r="C199" s="55">
        <f>B199/B188</f>
        <v>7.2902338376891335E-2</v>
      </c>
      <c r="D199" s="16">
        <f>'Ref. ACS-5-YR'!R911</f>
        <v>1122</v>
      </c>
      <c r="E199" s="55">
        <f>D199/D188</f>
        <v>9.3204851304203362E-2</v>
      </c>
      <c r="F199" s="16">
        <f>'Ref. ACS-5-YR'!AB911</f>
        <v>279893</v>
      </c>
      <c r="G199" s="55">
        <f>F199/F188</f>
        <v>8.7498007096300234E-2</v>
      </c>
      <c r="H199" s="270"/>
    </row>
    <row r="200" spans="1:9" x14ac:dyDescent="0.3">
      <c r="A200" s="13" t="s">
        <v>1370</v>
      </c>
      <c r="B200" s="16">
        <f>'Ref. ACS-5-YR'!H912</f>
        <v>287</v>
      </c>
      <c r="C200" s="55">
        <f>B200/B188</f>
        <v>9.8693259972489678E-2</v>
      </c>
      <c r="D200" s="16">
        <f>'Ref. ACS-5-YR'!R912</f>
        <v>1482</v>
      </c>
      <c r="E200" s="55">
        <f>D200/D188</f>
        <v>0.12311015118790497</v>
      </c>
      <c r="F200" s="16">
        <f>'Ref. ACS-5-YR'!AB912</f>
        <v>355361</v>
      </c>
      <c r="G200" s="55">
        <f>F200/F188</f>
        <v>0.111090235553402</v>
      </c>
      <c r="H200" s="270"/>
    </row>
    <row r="201" spans="1:9" x14ac:dyDescent="0.3">
      <c r="A201" s="13" t="s">
        <v>1371</v>
      </c>
      <c r="B201" s="16">
        <f>'Ref. ACS-5-YR'!H913</f>
        <v>91</v>
      </c>
      <c r="C201" s="55">
        <f>B201/B188</f>
        <v>3.1292984869325996E-2</v>
      </c>
      <c r="D201" s="16">
        <f>'Ref. ACS-5-YR'!R913</f>
        <v>1017</v>
      </c>
      <c r="E201" s="55">
        <f>D201/D188</f>
        <v>8.4482472171457046E-2</v>
      </c>
      <c r="F201" s="16">
        <f>'Ref. ACS-5-YR'!AB913</f>
        <v>256255</v>
      </c>
      <c r="G201" s="55">
        <f>F201/F188</f>
        <v>8.0108476483736341E-2</v>
      </c>
      <c r="H201" s="270"/>
    </row>
    <row r="202" spans="1:9" x14ac:dyDescent="0.3">
      <c r="A202" s="13" t="s">
        <v>1372</v>
      </c>
      <c r="B202" s="16">
        <f>'Ref. ACS-5-YR'!H914</f>
        <v>119</v>
      </c>
      <c r="C202" s="55">
        <f>B202/B188</f>
        <v>4.0921595598349382E-2</v>
      </c>
      <c r="D202" s="16">
        <f>'Ref. ACS-5-YR'!R914</f>
        <v>658</v>
      </c>
      <c r="E202" s="55">
        <f>D202/D188</f>
        <v>5.4660242565210168E-2</v>
      </c>
      <c r="F202" s="16">
        <f>'Ref. ACS-5-YR'!AB914</f>
        <v>170039</v>
      </c>
      <c r="G202" s="55">
        <f>F202/F188</f>
        <v>5.3156290541913502E-2</v>
      </c>
      <c r="H202" s="270"/>
    </row>
    <row r="203" spans="1:9" x14ac:dyDescent="0.3">
      <c r="A203" s="13" t="s">
        <v>1373</v>
      </c>
      <c r="B203" s="16">
        <f>'Ref. ACS-5-YR'!H915</f>
        <v>52</v>
      </c>
      <c r="C203" s="55">
        <f>B203/B188</f>
        <v>1.7881705639614855E-2</v>
      </c>
      <c r="D203" s="16">
        <f>'Ref. ACS-5-YR'!R915</f>
        <v>629</v>
      </c>
      <c r="E203" s="55">
        <f>D203/D188</f>
        <v>5.2251204519023091E-2</v>
      </c>
      <c r="F203" s="16">
        <f>'Ref. ACS-5-YR'!AB915</f>
        <v>205551</v>
      </c>
      <c r="G203" s="55">
        <f>F203/F188</f>
        <v>6.4257780139737722E-2</v>
      </c>
      <c r="H203" s="270"/>
    </row>
    <row r="204" spans="1:9" x14ac:dyDescent="0.3">
      <c r="A204" s="13" t="s">
        <v>1374</v>
      </c>
      <c r="B204" s="16">
        <f>'Ref. ACS-5-YR'!H916</f>
        <v>50</v>
      </c>
      <c r="C204" s="55">
        <f>B204/B188</f>
        <v>1.7193947730398899E-2</v>
      </c>
      <c r="D204" s="16">
        <f>'Ref. ACS-5-YR'!R916</f>
        <v>424</v>
      </c>
      <c r="E204" s="55">
        <f>D204/D188</f>
        <v>3.5221797640804117E-2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Madera</v>
      </c>
      <c r="C209" s="60" t="str">
        <f>B3</f>
        <v>City of Madera</v>
      </c>
      <c r="D209" s="60" t="str">
        <f>B4</f>
        <v>Madera County</v>
      </c>
      <c r="E209" s="60" t="str">
        <f>B4</f>
        <v>Madera County</v>
      </c>
      <c r="F209" s="60" t="s">
        <v>173</v>
      </c>
      <c r="G209" s="60" t="s">
        <v>173</v>
      </c>
      <c r="H209" s="269"/>
    </row>
    <row r="210" spans="1:9" x14ac:dyDescent="0.3">
      <c r="A210" s="13" t="s">
        <v>180</v>
      </c>
      <c r="B210" s="16">
        <f>B211+B215</f>
        <v>2908</v>
      </c>
      <c r="C210" s="55"/>
      <c r="D210" s="16">
        <f>D211+D215</f>
        <v>12038</v>
      </c>
      <c r="E210" s="55"/>
      <c r="F210" s="16">
        <f>F211+F215</f>
        <v>3198850</v>
      </c>
      <c r="G210" s="55"/>
      <c r="H210" s="270"/>
    </row>
    <row r="211" spans="1:9" x14ac:dyDescent="0.3">
      <c r="A211" s="13" t="s">
        <v>1381</v>
      </c>
      <c r="B211" s="16">
        <f>SUM(B212:B214)</f>
        <v>2019</v>
      </c>
      <c r="C211" s="55">
        <f>B211/B210</f>
        <v>0.69429160935350753</v>
      </c>
      <c r="D211" s="16">
        <f>SUM(D212:D214)</f>
        <v>10203</v>
      </c>
      <c r="E211" s="55">
        <f>D211/D210</f>
        <v>0.84756604087057652</v>
      </c>
      <c r="F211" s="16">
        <f>SUM(F212:F214)</f>
        <v>2340689</v>
      </c>
      <c r="G211" s="55">
        <f>F211/F210</f>
        <v>0.7317282773496725</v>
      </c>
      <c r="H211" s="270"/>
    </row>
    <row r="212" spans="1:9" x14ac:dyDescent="0.3">
      <c r="A212" s="13" t="s">
        <v>1382</v>
      </c>
      <c r="B212" s="16">
        <f>'Ref. ACS-5-YR'!H1007</f>
        <v>1255</v>
      </c>
      <c r="C212" s="55">
        <f>B212/B211</f>
        <v>0.62159484893511641</v>
      </c>
      <c r="D212" s="16">
        <f>'Ref. ACS-5-YR'!R1007</f>
        <v>6391</v>
      </c>
      <c r="E212" s="55">
        <f>D212/D211</f>
        <v>0.62638439674605506</v>
      </c>
      <c r="F212" s="16">
        <f>'Ref. ACS-5-YR'!AB1007</f>
        <v>1350393</v>
      </c>
      <c r="G212" s="55">
        <f>F212/F211</f>
        <v>0.57692115441222647</v>
      </c>
      <c r="H212" s="270"/>
    </row>
    <row r="213" spans="1:9" x14ac:dyDescent="0.3">
      <c r="A213" s="13" t="s">
        <v>1383</v>
      </c>
      <c r="B213" s="16">
        <f>'Ref. ACS-5-YR'!H1008</f>
        <v>463</v>
      </c>
      <c r="C213" s="55">
        <f>B213/B211</f>
        <v>0.229321446260525</v>
      </c>
      <c r="D213" s="16">
        <f>'Ref. ACS-5-YR'!R1008</f>
        <v>2711</v>
      </c>
      <c r="E213" s="55">
        <f>D213/D211</f>
        <v>0.26570616485347448</v>
      </c>
      <c r="F213" s="16">
        <f>'Ref. ACS-5-YR'!AB1008</f>
        <v>688443</v>
      </c>
      <c r="G213" s="55">
        <f>F213/F211</f>
        <v>0.29411980831285145</v>
      </c>
      <c r="H213" s="270"/>
    </row>
    <row r="214" spans="1:9" x14ac:dyDescent="0.3">
      <c r="A214" s="13" t="s">
        <v>1384</v>
      </c>
      <c r="B214" s="16">
        <f>'Ref. ACS-5-YR'!H1009</f>
        <v>301</v>
      </c>
      <c r="C214" s="55">
        <f>B214/B211</f>
        <v>0.14908370480435859</v>
      </c>
      <c r="D214" s="16">
        <f>'Ref. ACS-5-YR'!R1009</f>
        <v>1101</v>
      </c>
      <c r="E214" s="55">
        <f>D214/D211</f>
        <v>0.10790943840047044</v>
      </c>
      <c r="F214" s="16">
        <f>'Ref. ACS-5-YR'!AB1009</f>
        <v>301853</v>
      </c>
      <c r="G214" s="55">
        <f>F214/F211</f>
        <v>0.12895903727492206</v>
      </c>
      <c r="H214" s="270"/>
    </row>
    <row r="215" spans="1:9" x14ac:dyDescent="0.3">
      <c r="A215" s="13" t="s">
        <v>1385</v>
      </c>
      <c r="B215" s="16">
        <f>SUM(B216:B218)</f>
        <v>889</v>
      </c>
      <c r="C215" s="55">
        <f>B215/B210</f>
        <v>0.30570839064649241</v>
      </c>
      <c r="D215" s="16">
        <f>SUM(D216:D218)</f>
        <v>1835</v>
      </c>
      <c r="E215" s="55">
        <f>D215/D210</f>
        <v>0.15243395912942348</v>
      </c>
      <c r="F215" s="16">
        <f>SUM(F216:F218)</f>
        <v>858161</v>
      </c>
      <c r="G215" s="55">
        <f>F215/F210</f>
        <v>0.26827172265032745</v>
      </c>
      <c r="H215" s="270"/>
    </row>
    <row r="216" spans="1:9" x14ac:dyDescent="0.3">
      <c r="A216" s="13" t="s">
        <v>1382</v>
      </c>
      <c r="B216" s="16">
        <f>'Ref. ACS-5-YR'!H1017</f>
        <v>453</v>
      </c>
      <c r="C216" s="55">
        <f>B216/B215</f>
        <v>0.50956130483689543</v>
      </c>
      <c r="D216" s="16">
        <f>'Ref. ACS-5-YR'!R1017</f>
        <v>1118</v>
      </c>
      <c r="E216" s="55">
        <f>D216/D215</f>
        <v>0.60926430517711172</v>
      </c>
      <c r="F216" s="16">
        <f>'Ref. ACS-5-YR'!AB1017</f>
        <v>484266</v>
      </c>
      <c r="G216" s="55">
        <f>F216/F215</f>
        <v>0.56430669769425545</v>
      </c>
      <c r="H216" s="270"/>
    </row>
    <row r="217" spans="1:9" x14ac:dyDescent="0.3">
      <c r="A217" s="13" t="s">
        <v>1383</v>
      </c>
      <c r="B217" s="16">
        <f>'Ref. ACS-5-YR'!H1018</f>
        <v>239</v>
      </c>
      <c r="C217" s="55">
        <f>B217/B215</f>
        <v>0.26884139482564678</v>
      </c>
      <c r="D217" s="16">
        <f>'Ref. ACS-5-YR'!R1018</f>
        <v>453</v>
      </c>
      <c r="E217" s="55">
        <f>D217/D215</f>
        <v>0.24686648501362399</v>
      </c>
      <c r="F217" s="16">
        <f>'Ref. ACS-5-YR'!AB1018</f>
        <v>234067</v>
      </c>
      <c r="G217" s="55">
        <f>F217/F215</f>
        <v>0.27275418015966701</v>
      </c>
      <c r="H217" s="270"/>
    </row>
    <row r="218" spans="1:9" x14ac:dyDescent="0.3">
      <c r="A218" s="13" t="s">
        <v>1384</v>
      </c>
      <c r="B218" s="16">
        <f>'Ref. ACS-5-YR'!H1019</f>
        <v>197</v>
      </c>
      <c r="C218" s="55">
        <f>B218/B215</f>
        <v>0.22159730033745781</v>
      </c>
      <c r="D218" s="16">
        <f>'Ref. ACS-5-YR'!R1019</f>
        <v>264</v>
      </c>
      <c r="E218" s="55">
        <f>D218/D215</f>
        <v>0.14386920980926429</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Madera</v>
      </c>
      <c r="B226" s="63">
        <f>SUM('Ref. ACS-5-YR'!B1017:B1019)</f>
        <v>748</v>
      </c>
      <c r="C226" s="63">
        <f>SUM('Ref. ACS-5-YR'!B1007:B1009)</f>
        <v>2050</v>
      </c>
      <c r="D226" s="63">
        <f>SUM('Ref. ACS-5-YR'!E1017:E1019)</f>
        <v>913</v>
      </c>
      <c r="E226" s="16">
        <f>SUM('Ref. ACS-5-YR'!E1007:E1009)</f>
        <v>1830</v>
      </c>
      <c r="F226" s="16">
        <f>SUM('Ref. ACS-5-YR'!H1017:H1019)</f>
        <v>889</v>
      </c>
      <c r="G226" s="16">
        <f>SUM('Ref. ACS-5-YR'!H1007:H1009)</f>
        <v>2019</v>
      </c>
    </row>
    <row r="227" spans="1:9" x14ac:dyDescent="0.3">
      <c r="A227" s="13" t="str">
        <f>B3</f>
        <v>City of Madera</v>
      </c>
      <c r="B227" s="5">
        <f>B226/(B226+C226)</f>
        <v>0.2673338098641887</v>
      </c>
      <c r="C227" s="5">
        <f>C226/(B226+C226)</f>
        <v>0.73266619013581125</v>
      </c>
      <c r="D227" s="5">
        <f>D226/(D226+E226)</f>
        <v>0.33284724753919065</v>
      </c>
      <c r="E227" s="5">
        <f>E226/(D226+E226)</f>
        <v>0.6671527524608093</v>
      </c>
      <c r="F227" s="5">
        <f>F226/(F226+G226)</f>
        <v>0.30570839064649241</v>
      </c>
      <c r="G227" s="5">
        <f>G226/(F226+G226)</f>
        <v>0.69429160935350753</v>
      </c>
    </row>
    <row r="228" spans="1:9" x14ac:dyDescent="0.3">
      <c r="A228" s="13" t="str">
        <f>B4</f>
        <v>Madera County</v>
      </c>
      <c r="B228" s="63">
        <f>SUM('Ref. ACS-5-YR'!L1017:L1019)</f>
        <v>1506</v>
      </c>
      <c r="C228" s="63">
        <f>SUM('Ref. ACS-5-YR'!L1007:L1009)</f>
        <v>7529</v>
      </c>
      <c r="D228" s="63">
        <f>SUM('Ref. ACS-5-YR'!O1017:O1019)</f>
        <v>1963</v>
      </c>
      <c r="E228" s="16">
        <f>SUM('Ref. ACS-5-YR'!O1007:O1009)</f>
        <v>8769</v>
      </c>
      <c r="F228" s="16">
        <f>SUM('Ref. ACS-5-YR'!R1017:R1019)</f>
        <v>1835</v>
      </c>
      <c r="G228" s="16">
        <f>SUM('Ref. ACS-5-YR'!R1007:R1009)</f>
        <v>10203</v>
      </c>
    </row>
    <row r="229" spans="1:9" x14ac:dyDescent="0.3">
      <c r="A229" s="13" t="str">
        <f>B4</f>
        <v>Madera County</v>
      </c>
      <c r="B229" s="5">
        <f>B228/(B228+C228)</f>
        <v>0.16668511344770337</v>
      </c>
      <c r="C229" s="5">
        <f>C228/(B228+C228)</f>
        <v>0.83331488655229657</v>
      </c>
      <c r="D229" s="5">
        <f>D228/(D228+E228)</f>
        <v>0.18291092061125605</v>
      </c>
      <c r="E229" s="5">
        <f>E228/(D228+E228)</f>
        <v>0.81708907938874398</v>
      </c>
      <c r="F229" s="5">
        <f>F228/(F228+G228)</f>
        <v>0.15243395912942348</v>
      </c>
      <c r="G229" s="5">
        <f>G228/(F228+G228)</f>
        <v>0.84756604087057652</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Madera</v>
      </c>
      <c r="C243" s="60" t="str">
        <f>Housing!B3</f>
        <v>City of Madera</v>
      </c>
      <c r="D243" s="60" t="str">
        <f>Housing!B4</f>
        <v>Madera County</v>
      </c>
      <c r="E243" s="60" t="str">
        <f>Housing!B4</f>
        <v>Madera County</v>
      </c>
      <c r="F243" s="60" t="s">
        <v>173</v>
      </c>
      <c r="G243" s="60" t="s">
        <v>173</v>
      </c>
      <c r="H243" s="271"/>
      <c r="I243" s="42"/>
      <c r="J243" s="58"/>
    </row>
    <row r="244" spans="1:10" x14ac:dyDescent="0.3">
      <c r="A244" s="13" t="s">
        <v>1393</v>
      </c>
      <c r="B244" s="16">
        <f>'Ref. ACS-5-YR'!H1023</f>
        <v>17598</v>
      </c>
      <c r="C244" s="55"/>
      <c r="D244" s="16">
        <f>'Ref. ACS-5-YR'!R1023</f>
        <v>44479</v>
      </c>
      <c r="E244" s="55"/>
      <c r="F244" s="16">
        <f>'Ref. ACS-5-YR'!AB1023</f>
        <v>13103114</v>
      </c>
      <c r="G244" s="55"/>
      <c r="H244" s="270"/>
      <c r="I244" s="84"/>
      <c r="J244" s="54"/>
    </row>
    <row r="245" spans="1:10" x14ac:dyDescent="0.3">
      <c r="A245" s="7" t="s">
        <v>1394</v>
      </c>
      <c r="B245" s="118">
        <f t="shared" ref="B245:G245" si="3">SUM(B246:B248)</f>
        <v>5068</v>
      </c>
      <c r="C245" s="119">
        <f t="shared" si="3"/>
        <v>0.28798727128082735</v>
      </c>
      <c r="D245" s="118">
        <f t="shared" si="3"/>
        <v>9856</v>
      </c>
      <c r="E245" s="119">
        <f t="shared" si="3"/>
        <v>0.22158771555115897</v>
      </c>
      <c r="F245" s="118">
        <f t="shared" si="3"/>
        <v>1809518</v>
      </c>
      <c r="G245" s="119">
        <f t="shared" si="3"/>
        <v>0.13700000000000001</v>
      </c>
      <c r="H245" s="270"/>
      <c r="I245" s="84"/>
      <c r="J245" s="54"/>
    </row>
    <row r="246" spans="1:10" x14ac:dyDescent="0.3">
      <c r="A246" s="7" t="s">
        <v>1326</v>
      </c>
      <c r="B246" s="118">
        <f t="shared" ref="B246:G248" si="4">B254+B262</f>
        <v>2321</v>
      </c>
      <c r="C246" s="119">
        <f t="shared" si="4"/>
        <v>0.13188998749857939</v>
      </c>
      <c r="D246" s="118">
        <f t="shared" si="4"/>
        <v>4759</v>
      </c>
      <c r="E246" s="119">
        <f t="shared" si="4"/>
        <v>0.10699431192248027</v>
      </c>
      <c r="F246" s="118">
        <f t="shared" si="4"/>
        <v>1025856</v>
      </c>
      <c r="G246" s="119">
        <f t="shared" si="4"/>
        <v>7.8E-2</v>
      </c>
      <c r="H246" s="270"/>
      <c r="I246" s="84"/>
      <c r="J246" s="54"/>
    </row>
    <row r="247" spans="1:10" x14ac:dyDescent="0.3">
      <c r="A247" s="7" t="s">
        <v>1327</v>
      </c>
      <c r="B247" s="118">
        <f t="shared" si="4"/>
        <v>1567</v>
      </c>
      <c r="C247" s="119">
        <f t="shared" si="4"/>
        <v>8.9044209569269242E-2</v>
      </c>
      <c r="D247" s="118">
        <f t="shared" si="4"/>
        <v>2636</v>
      </c>
      <c r="E247" s="119">
        <f t="shared" si="4"/>
        <v>5.9263922300411429E-2</v>
      </c>
      <c r="F247" s="118">
        <f t="shared" si="4"/>
        <v>440129</v>
      </c>
      <c r="G247" s="119">
        <f t="shared" si="4"/>
        <v>3.3000000000000002E-2</v>
      </c>
      <c r="H247" s="270"/>
      <c r="I247" s="84"/>
      <c r="J247" s="54"/>
    </row>
    <row r="248" spans="1:10" x14ac:dyDescent="0.3">
      <c r="A248" s="7" t="s">
        <v>1395</v>
      </c>
      <c r="B248" s="118">
        <f t="shared" si="4"/>
        <v>1180</v>
      </c>
      <c r="C248" s="119">
        <f t="shared" si="4"/>
        <v>6.705307421297875E-2</v>
      </c>
      <c r="D248" s="118">
        <f t="shared" si="4"/>
        <v>2461</v>
      </c>
      <c r="E248" s="119">
        <f t="shared" si="4"/>
        <v>5.5329481328267274E-2</v>
      </c>
      <c r="F248" s="118">
        <f t="shared" si="4"/>
        <v>343533</v>
      </c>
      <c r="G248" s="119">
        <f t="shared" si="4"/>
        <v>2.5999999999999999E-2</v>
      </c>
      <c r="H248" s="270"/>
      <c r="I248" s="84"/>
      <c r="J248" s="54"/>
    </row>
    <row r="249" spans="1:10" x14ac:dyDescent="0.3">
      <c r="A249" s="13" t="s">
        <v>1396</v>
      </c>
      <c r="B249" s="16">
        <f>'Ref. ACS-5-YR'!H1024</f>
        <v>8909</v>
      </c>
      <c r="C249" s="55">
        <f>'Ref. ACS-5-YR'!I1024</f>
        <v>0.50625071030798952</v>
      </c>
      <c r="D249" s="16">
        <f>'Ref. ACS-5-YR'!R1024</f>
        <v>29270</v>
      </c>
      <c r="E249" s="55">
        <f>'Ref. ACS-5-YR'!S1024</f>
        <v>0.65806335574091146</v>
      </c>
      <c r="F249" s="16">
        <f>'Ref. ACS-5-YR'!AB1024</f>
        <v>7241318</v>
      </c>
      <c r="G249" s="55">
        <f>'Ref. ACS-5-YR'!AC1024</f>
        <v>0.55300000000000005</v>
      </c>
      <c r="H249" s="270"/>
      <c r="I249" s="84"/>
      <c r="J249" s="54"/>
    </row>
    <row r="250" spans="1:10" x14ac:dyDescent="0.3">
      <c r="A250" s="13" t="s">
        <v>1330</v>
      </c>
      <c r="B250" s="16">
        <f>'Ref. ACS-5-YR'!H1025</f>
        <v>1301</v>
      </c>
      <c r="C250" s="55">
        <f>'Ref. ACS-5-YR'!I1025</f>
        <v>7.3928855551767245E-2</v>
      </c>
      <c r="D250" s="16">
        <f>'Ref. ACS-5-YR'!R1025</f>
        <v>4875</v>
      </c>
      <c r="E250" s="55">
        <f>'Ref. ACS-5-YR'!S1025</f>
        <v>0.10960228422401583</v>
      </c>
      <c r="F250" s="16">
        <f>'Ref. ACS-5-YR'!AB1025</f>
        <v>1416913</v>
      </c>
      <c r="G250" s="55">
        <f>'Ref. ACS-5-YR'!AC1025</f>
        <v>0.108</v>
      </c>
      <c r="H250" s="270"/>
      <c r="I250" s="84"/>
      <c r="J250" s="54"/>
    </row>
    <row r="251" spans="1:10" x14ac:dyDescent="0.3">
      <c r="A251" s="13" t="s">
        <v>1323</v>
      </c>
      <c r="B251" s="16">
        <f>'Ref. ACS-5-YR'!H1026</f>
        <v>2185</v>
      </c>
      <c r="C251" s="55">
        <f>'Ref. ACS-5-YR'!I1026</f>
        <v>0.12416183657233777</v>
      </c>
      <c r="D251" s="16">
        <f>'Ref. ACS-5-YR'!R1026</f>
        <v>10550</v>
      </c>
      <c r="E251" s="55">
        <f>'Ref. ACS-5-YR'!S1026</f>
        <v>0.23719058432069065</v>
      </c>
      <c r="F251" s="16">
        <f>'Ref. ACS-5-YR'!AB1026</f>
        <v>2403865</v>
      </c>
      <c r="G251" s="55">
        <f>'Ref. ACS-5-YR'!AC1026</f>
        <v>0.183</v>
      </c>
      <c r="H251" s="270"/>
      <c r="I251" s="84"/>
      <c r="J251" s="54"/>
    </row>
    <row r="252" spans="1:10" x14ac:dyDescent="0.3">
      <c r="A252" s="13" t="s">
        <v>1324</v>
      </c>
      <c r="B252" s="16">
        <f>'Ref. ACS-5-YR'!H1027</f>
        <v>1715</v>
      </c>
      <c r="C252" s="55">
        <f>'Ref. ACS-5-YR'!I1027</f>
        <v>9.7454256165473346E-2</v>
      </c>
      <c r="D252" s="16">
        <f>'Ref. ACS-5-YR'!R1027</f>
        <v>4186</v>
      </c>
      <c r="E252" s="55">
        <f>'Ref. ACS-5-YR'!S1027</f>
        <v>9.4111828053688257E-2</v>
      </c>
      <c r="F252" s="16">
        <f>'Ref. ACS-5-YR'!AB1027</f>
        <v>1235833</v>
      </c>
      <c r="G252" s="55">
        <f>'Ref. ACS-5-YR'!AC1027</f>
        <v>9.4E-2</v>
      </c>
      <c r="H252" s="270"/>
      <c r="I252" s="84"/>
      <c r="J252" s="54"/>
    </row>
    <row r="253" spans="1:10" x14ac:dyDescent="0.3">
      <c r="A253" s="13" t="s">
        <v>1325</v>
      </c>
      <c r="B253" s="16">
        <f>'Ref. ACS-5-YR'!H1028</f>
        <v>1587</v>
      </c>
      <c r="C253" s="55">
        <f>'Ref. ACS-5-YR'!I1028</f>
        <v>9.0180702352540068E-2</v>
      </c>
      <c r="D253" s="16">
        <f>'Ref. ACS-5-YR'!R1028</f>
        <v>4492</v>
      </c>
      <c r="E253" s="55">
        <f>'Ref. ACS-5-YR'!S1028</f>
        <v>0.10099147912498033</v>
      </c>
      <c r="F253" s="16">
        <f>'Ref. ACS-5-YR'!AB1028</f>
        <v>1182987</v>
      </c>
      <c r="G253" s="55">
        <f>'Ref. ACS-5-YR'!AC1028</f>
        <v>0.09</v>
      </c>
      <c r="H253" s="270"/>
      <c r="I253" s="84"/>
      <c r="J253" s="54"/>
    </row>
    <row r="254" spans="1:10" x14ac:dyDescent="0.3">
      <c r="A254" s="13" t="s">
        <v>1326</v>
      </c>
      <c r="B254" s="16">
        <f>'Ref. ACS-5-YR'!H1029</f>
        <v>1055</v>
      </c>
      <c r="C254" s="55">
        <f>'Ref. ACS-5-YR'!I1029</f>
        <v>5.994999431753608E-2</v>
      </c>
      <c r="D254" s="16">
        <f>'Ref. ACS-5-YR'!R1029</f>
        <v>2583</v>
      </c>
      <c r="E254" s="55">
        <f>'Ref. ACS-5-YR'!S1029</f>
        <v>5.8072348748847771E-2</v>
      </c>
      <c r="F254" s="16">
        <f>'Ref. ACS-5-YR'!AB1029</f>
        <v>567528</v>
      </c>
      <c r="G254" s="55">
        <f>'Ref. ACS-5-YR'!AC1029</f>
        <v>4.2999999999999997E-2</v>
      </c>
      <c r="H254" s="270"/>
      <c r="I254" s="84"/>
      <c r="J254" s="54"/>
    </row>
    <row r="255" spans="1:10" x14ac:dyDescent="0.3">
      <c r="A255" s="13" t="s">
        <v>1327</v>
      </c>
      <c r="B255" s="16">
        <f>'Ref. ACS-5-YR'!H1030</f>
        <v>534</v>
      </c>
      <c r="C255" s="55">
        <f>'Ref. ACS-5-YR'!I1030</f>
        <v>3.0344357313331061E-2</v>
      </c>
      <c r="D255" s="16">
        <f>'Ref. ACS-5-YR'!R1030</f>
        <v>1126</v>
      </c>
      <c r="E255" s="55">
        <f>'Ref. ACS-5-YR'!S1030</f>
        <v>2.5315317340767553E-2</v>
      </c>
      <c r="F255" s="16">
        <f>'Ref. ACS-5-YR'!AB1030</f>
        <v>238866</v>
      </c>
      <c r="G255" s="55">
        <f>'Ref. ACS-5-YR'!AC1030</f>
        <v>1.7999999999999999E-2</v>
      </c>
      <c r="H255" s="270"/>
      <c r="I255" s="84"/>
      <c r="J255" s="54"/>
    </row>
    <row r="256" spans="1:10" x14ac:dyDescent="0.3">
      <c r="A256" s="13" t="s">
        <v>1395</v>
      </c>
      <c r="B256" s="16">
        <f>'Ref. ACS-5-YR'!H1031</f>
        <v>532</v>
      </c>
      <c r="C256" s="55">
        <f>'Ref. ACS-5-YR'!I1031</f>
        <v>3.0230708035003977E-2</v>
      </c>
      <c r="D256" s="16">
        <f>'Ref. ACS-5-YR'!R1031</f>
        <v>1458</v>
      </c>
      <c r="E256" s="55">
        <f>'Ref. ACS-5-YR'!S1031</f>
        <v>3.2779513927921042E-2</v>
      </c>
      <c r="F256" s="16">
        <f>'Ref. ACS-5-YR'!AB1031</f>
        <v>195326</v>
      </c>
      <c r="G256" s="55">
        <f>'Ref. ACS-5-YR'!AC1031</f>
        <v>1.4999999999999999E-2</v>
      </c>
      <c r="H256" s="270"/>
      <c r="I256" s="84"/>
      <c r="J256" s="54"/>
    </row>
    <row r="257" spans="1:10" x14ac:dyDescent="0.3">
      <c r="A257" s="13" t="s">
        <v>1388</v>
      </c>
      <c r="B257" s="16">
        <f>'Ref. ACS-5-YR'!H1032</f>
        <v>8689</v>
      </c>
      <c r="C257" s="55">
        <f>'Ref. ACS-5-YR'!I1032</f>
        <v>0.49374928969201043</v>
      </c>
      <c r="D257" s="16">
        <f>'Ref. ACS-5-YR'!R1032</f>
        <v>15209</v>
      </c>
      <c r="E257" s="55">
        <f>'Ref. ACS-5-YR'!S1032</f>
        <v>0.34193664425908854</v>
      </c>
      <c r="F257" s="16">
        <f>'Ref. ACS-5-YR'!AB1032</f>
        <v>5861796</v>
      </c>
      <c r="G257" s="55">
        <f>'Ref. ACS-5-YR'!AC1032</f>
        <v>0.44700000000000001</v>
      </c>
      <c r="H257" s="270"/>
      <c r="I257" s="84"/>
      <c r="J257" s="54"/>
    </row>
    <row r="258" spans="1:10" x14ac:dyDescent="0.3">
      <c r="A258" s="13" t="s">
        <v>1330</v>
      </c>
      <c r="B258" s="16">
        <f>'Ref. ACS-5-YR'!H1033</f>
        <v>1193</v>
      </c>
      <c r="C258" s="55">
        <f>'Ref. ACS-5-YR'!I1033</f>
        <v>6.7791794522104779E-2</v>
      </c>
      <c r="D258" s="16">
        <f>'Ref. ACS-5-YR'!R1033</f>
        <v>2513</v>
      </c>
      <c r="E258" s="55">
        <f>'Ref. ACS-5-YR'!S1033</f>
        <v>5.6498572359990111E-2</v>
      </c>
      <c r="F258" s="16">
        <f>'Ref. ACS-5-YR'!AB1033</f>
        <v>1697906</v>
      </c>
      <c r="G258" s="55">
        <f>'Ref. ACS-5-YR'!AC1033</f>
        <v>0.13</v>
      </c>
      <c r="H258" s="270"/>
      <c r="I258" s="84"/>
      <c r="J258" s="54"/>
    </row>
    <row r="259" spans="1:10" x14ac:dyDescent="0.3">
      <c r="A259" s="13" t="s">
        <v>1323</v>
      </c>
      <c r="B259" s="16">
        <f>'Ref. ACS-5-YR'!H1034</f>
        <v>1498</v>
      </c>
      <c r="C259" s="55">
        <f>'Ref. ACS-5-YR'!I1034</f>
        <v>8.5123309466984889E-2</v>
      </c>
      <c r="D259" s="16">
        <f>'Ref. ACS-5-YR'!R1034</f>
        <v>2889</v>
      </c>
      <c r="E259" s="55">
        <f>'Ref. ACS-5-YR'!S1034</f>
        <v>6.4951999820139841E-2</v>
      </c>
      <c r="F259" s="16">
        <f>'Ref. ACS-5-YR'!AB1034</f>
        <v>1579529</v>
      </c>
      <c r="G259" s="55">
        <f>'Ref. ACS-5-YR'!AC1034</f>
        <v>0.121</v>
      </c>
      <c r="H259" s="270"/>
      <c r="I259" s="42"/>
      <c r="J259" s="54"/>
    </row>
    <row r="260" spans="1:10" x14ac:dyDescent="0.3">
      <c r="A260" s="13" t="s">
        <v>1324</v>
      </c>
      <c r="B260" s="16">
        <f>'Ref. ACS-5-YR'!H1035</f>
        <v>1503</v>
      </c>
      <c r="C260" s="55">
        <f>'Ref. ACS-5-YR'!I1035</f>
        <v>8.5407432662802596E-2</v>
      </c>
      <c r="D260" s="16">
        <f>'Ref. ACS-5-YR'!R1035</f>
        <v>2447</v>
      </c>
      <c r="E260" s="55">
        <f>'Ref. ACS-5-YR'!S1035</f>
        <v>5.5014726050495739E-2</v>
      </c>
      <c r="F260" s="16">
        <f>'Ref. ACS-5-YR'!AB1035</f>
        <v>954485</v>
      </c>
      <c r="G260" s="55">
        <f>'Ref. ACS-5-YR'!AC1035</f>
        <v>7.2999999999999995E-2</v>
      </c>
      <c r="H260" s="270"/>
      <c r="I260" s="42"/>
      <c r="J260" s="54"/>
    </row>
    <row r="261" spans="1:10" x14ac:dyDescent="0.3">
      <c r="A261" s="13" t="s">
        <v>1325</v>
      </c>
      <c r="B261" s="16">
        <f>'Ref. ACS-5-YR'!H1036</f>
        <v>1548</v>
      </c>
      <c r="C261" s="55">
        <f>'Ref. ACS-5-YR'!I1036</f>
        <v>8.7964541425161955E-2</v>
      </c>
      <c r="D261" s="16">
        <f>'Ref. ACS-5-YR'!R1036</f>
        <v>2671</v>
      </c>
      <c r="E261" s="55">
        <f>'Ref. ACS-5-YR'!S1036</f>
        <v>6.0050810494840262E-2</v>
      </c>
      <c r="F261" s="16">
        <f>'Ref. ACS-5-YR'!AB1036</f>
        <v>822078</v>
      </c>
      <c r="G261" s="55">
        <f>'Ref. ACS-5-YR'!AC1036</f>
        <v>6.3E-2</v>
      </c>
      <c r="H261" s="270"/>
      <c r="I261" s="42"/>
      <c r="J261" s="54"/>
    </row>
    <row r="262" spans="1:10" x14ac:dyDescent="0.3">
      <c r="A262" s="13" t="s">
        <v>1326</v>
      </c>
      <c r="B262" s="16">
        <f>'Ref. ACS-5-YR'!H1037</f>
        <v>1266</v>
      </c>
      <c r="C262" s="55">
        <f>'Ref. ACS-5-YR'!I1037</f>
        <v>7.1939993181043299E-2</v>
      </c>
      <c r="D262" s="16">
        <f>'Ref. ACS-5-YR'!R1037</f>
        <v>2176</v>
      </c>
      <c r="E262" s="55">
        <f>'Ref. ACS-5-YR'!S1037</f>
        <v>4.8921963173632503E-2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1033</v>
      </c>
      <c r="C263" s="55">
        <f>'Ref. ACS-5-YR'!I1038</f>
        <v>5.8699852255938177E-2</v>
      </c>
      <c r="D263" s="16">
        <f>'Ref. ACS-5-YR'!R1038</f>
        <v>1510</v>
      </c>
      <c r="E263" s="55">
        <f>'Ref. ACS-5-YR'!S1038</f>
        <v>3.3948604959643879E-2</v>
      </c>
      <c r="F263" s="16">
        <f>'Ref. ACS-5-YR'!AB1038</f>
        <v>201263</v>
      </c>
      <c r="G263" s="55">
        <f>'Ref. ACS-5-YR'!AC1038</f>
        <v>1.4999999999999999E-2</v>
      </c>
      <c r="H263" s="270"/>
      <c r="I263" s="42"/>
      <c r="J263" s="54"/>
    </row>
    <row r="264" spans="1:10" x14ac:dyDescent="0.3">
      <c r="A264" s="13" t="s">
        <v>1395</v>
      </c>
      <c r="B264" s="16">
        <f>'Ref. ACS-5-YR'!H1039</f>
        <v>648</v>
      </c>
      <c r="C264" s="55">
        <f>'Ref. ACS-5-YR'!I1039</f>
        <v>3.6822366177974769E-2</v>
      </c>
      <c r="D264" s="16">
        <f>'Ref. ACS-5-YR'!R1039</f>
        <v>1003</v>
      </c>
      <c r="E264" s="55">
        <f>'Ref. ACS-5-YR'!S1039</f>
        <v>2.2549967400346232E-2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15857</v>
      </c>
      <c r="C269" s="55"/>
      <c r="D269" s="16">
        <f>'Ref. ACS-5-YR'!E1023</f>
        <v>16791</v>
      </c>
      <c r="E269" s="55"/>
      <c r="F269" s="16">
        <f>'Ref. ACS-5-YR'!H1023</f>
        <v>17598</v>
      </c>
      <c r="G269" s="55"/>
      <c r="I269" s="42"/>
    </row>
    <row r="270" spans="1:10" x14ac:dyDescent="0.3">
      <c r="A270" s="7" t="s">
        <v>1330</v>
      </c>
      <c r="B270" s="118">
        <f t="shared" ref="B270:G276" si="5">B278+B286</f>
        <v>2814</v>
      </c>
      <c r="C270" s="119">
        <f t="shared" si="5"/>
        <v>0.17746105820773161</v>
      </c>
      <c r="D270" s="118">
        <f t="shared" si="5"/>
        <v>3022</v>
      </c>
      <c r="E270" s="119">
        <f t="shared" si="5"/>
        <v>0.1799773688285391</v>
      </c>
      <c r="F270" s="118">
        <f t="shared" si="5"/>
        <v>2494</v>
      </c>
      <c r="G270" s="119">
        <f t="shared" si="5"/>
        <v>0.14172065007387202</v>
      </c>
      <c r="I270" s="42"/>
    </row>
    <row r="271" spans="1:10" x14ac:dyDescent="0.3">
      <c r="A271" s="7" t="s">
        <v>1323</v>
      </c>
      <c r="B271" s="118">
        <f t="shared" si="5"/>
        <v>3298</v>
      </c>
      <c r="C271" s="119">
        <f t="shared" si="5"/>
        <v>0.20798385571041178</v>
      </c>
      <c r="D271" s="118">
        <f t="shared" si="5"/>
        <v>3476</v>
      </c>
      <c r="E271" s="119">
        <f t="shared" si="5"/>
        <v>0.2070156631528795</v>
      </c>
      <c r="F271" s="118">
        <f t="shared" si="5"/>
        <v>3683</v>
      </c>
      <c r="G271" s="119">
        <f t="shared" si="5"/>
        <v>0.20928514603932266</v>
      </c>
      <c r="I271" s="42"/>
    </row>
    <row r="272" spans="1:10" x14ac:dyDescent="0.3">
      <c r="A272" s="7" t="s">
        <v>1324</v>
      </c>
      <c r="B272" s="118">
        <f t="shared" si="5"/>
        <v>2742</v>
      </c>
      <c r="C272" s="119">
        <f t="shared" si="5"/>
        <v>0.17292047676105191</v>
      </c>
      <c r="D272" s="118">
        <f t="shared" si="5"/>
        <v>2430</v>
      </c>
      <c r="E272" s="119">
        <f t="shared" si="5"/>
        <v>0.14472038592102912</v>
      </c>
      <c r="F272" s="118">
        <f t="shared" si="5"/>
        <v>3218</v>
      </c>
      <c r="G272" s="119">
        <f t="shared" si="5"/>
        <v>0.18286168882827594</v>
      </c>
      <c r="I272" s="42"/>
    </row>
    <row r="273" spans="1:9" x14ac:dyDescent="0.3">
      <c r="A273" s="7" t="s">
        <v>1325</v>
      </c>
      <c r="B273" s="118">
        <f t="shared" si="5"/>
        <v>2899</v>
      </c>
      <c r="C273" s="119">
        <f t="shared" si="5"/>
        <v>0.18282146686006179</v>
      </c>
      <c r="D273" s="118">
        <f t="shared" si="5"/>
        <v>3480</v>
      </c>
      <c r="E273" s="119">
        <f t="shared" si="5"/>
        <v>0.20725388601036271</v>
      </c>
      <c r="F273" s="118">
        <f t="shared" si="5"/>
        <v>3135</v>
      </c>
      <c r="G273" s="119">
        <f t="shared" si="5"/>
        <v>0.17814524377770202</v>
      </c>
      <c r="I273" s="42"/>
    </row>
    <row r="274" spans="1:9" x14ac:dyDescent="0.3">
      <c r="A274" s="7" t="s">
        <v>1326</v>
      </c>
      <c r="B274" s="118">
        <f t="shared" si="5"/>
        <v>2003</v>
      </c>
      <c r="C274" s="119">
        <f t="shared" si="5"/>
        <v>0.12631645330138111</v>
      </c>
      <c r="D274" s="118">
        <f t="shared" si="5"/>
        <v>2391</v>
      </c>
      <c r="E274" s="119">
        <f t="shared" si="5"/>
        <v>0.14239771306056814</v>
      </c>
      <c r="F274" s="118">
        <f t="shared" si="5"/>
        <v>2321</v>
      </c>
      <c r="G274" s="119">
        <f t="shared" si="5"/>
        <v>0.13188998749857939</v>
      </c>
      <c r="I274" s="42"/>
    </row>
    <row r="275" spans="1:9" x14ac:dyDescent="0.3">
      <c r="A275" s="7" t="s">
        <v>1327</v>
      </c>
      <c r="B275" s="118">
        <f t="shared" si="5"/>
        <v>1027</v>
      </c>
      <c r="C275" s="119">
        <f t="shared" si="5"/>
        <v>6.4766349246389604E-2</v>
      </c>
      <c r="D275" s="118">
        <f t="shared" si="5"/>
        <v>1250</v>
      </c>
      <c r="E275" s="119">
        <f t="shared" si="5"/>
        <v>7.4444642963492347E-2</v>
      </c>
      <c r="F275" s="118">
        <f t="shared" si="5"/>
        <v>1567</v>
      </c>
      <c r="G275" s="119">
        <f t="shared" si="5"/>
        <v>8.9044209569269242E-2</v>
      </c>
      <c r="I275" s="42"/>
    </row>
    <row r="276" spans="1:9" x14ac:dyDescent="0.3">
      <c r="A276" s="7" t="s">
        <v>1395</v>
      </c>
      <c r="B276" s="118">
        <f t="shared" si="5"/>
        <v>1074</v>
      </c>
      <c r="C276" s="119">
        <f t="shared" si="5"/>
        <v>6.7730339912972184E-2</v>
      </c>
      <c r="D276" s="118">
        <f t="shared" si="5"/>
        <v>742</v>
      </c>
      <c r="E276" s="119">
        <f t="shared" si="5"/>
        <v>4.4190340063129052E-2</v>
      </c>
      <c r="F276" s="118">
        <f t="shared" si="5"/>
        <v>1180</v>
      </c>
      <c r="G276" s="119">
        <f t="shared" si="5"/>
        <v>6.705307421297875E-2</v>
      </c>
      <c r="I276" s="42"/>
    </row>
    <row r="277" spans="1:9" x14ac:dyDescent="0.3">
      <c r="A277" s="13" t="s">
        <v>1396</v>
      </c>
      <c r="B277" s="16">
        <f>'Ref. ACS-5-YR'!B1024</f>
        <v>8081</v>
      </c>
      <c r="C277" s="55">
        <f>'Ref. ACS-5-YR'!C1024</f>
        <v>0.50961720375859243</v>
      </c>
      <c r="D277" s="16">
        <f>'Ref. ACS-5-YR'!E1024</f>
        <v>8016</v>
      </c>
      <c r="E277" s="55">
        <f>'Ref. ACS-5-YR'!F1024</f>
        <v>0.47739860639628373</v>
      </c>
      <c r="F277" s="16">
        <f>'Ref. ACS-5-YR'!H1024</f>
        <v>8909</v>
      </c>
      <c r="G277" s="55">
        <f>'Ref. ACS-5-YR'!I1024</f>
        <v>0.50625071030798952</v>
      </c>
      <c r="I277" s="42"/>
    </row>
    <row r="278" spans="1:9" x14ac:dyDescent="0.3">
      <c r="A278" s="13" t="s">
        <v>1330</v>
      </c>
      <c r="B278" s="16">
        <f>'Ref. ACS-5-YR'!B1025</f>
        <v>1329</v>
      </c>
      <c r="C278" s="55">
        <f>'Ref. ACS-5-YR'!C1025</f>
        <v>8.3811565869962787E-2</v>
      </c>
      <c r="D278" s="16">
        <f>'Ref. ACS-5-YR'!E1025</f>
        <v>1341</v>
      </c>
      <c r="E278" s="55">
        <f>'Ref. ACS-5-YR'!F1025</f>
        <v>7.9864212971234597E-2</v>
      </c>
      <c r="F278" s="16">
        <f>'Ref. ACS-5-YR'!H1025</f>
        <v>1301</v>
      </c>
      <c r="G278" s="55">
        <f>'Ref. ACS-5-YR'!I1025</f>
        <v>7.3928855551767245E-2</v>
      </c>
      <c r="I278" s="42"/>
    </row>
    <row r="279" spans="1:9" x14ac:dyDescent="0.3">
      <c r="A279" s="13" t="s">
        <v>1323</v>
      </c>
      <c r="B279" s="16">
        <f>'Ref. ACS-5-YR'!B1026</f>
        <v>2343</v>
      </c>
      <c r="C279" s="55">
        <f>'Ref. ACS-5-YR'!C1026</f>
        <v>0.14775808791070189</v>
      </c>
      <c r="D279" s="16">
        <f>'Ref. ACS-5-YR'!E1026</f>
        <v>2236</v>
      </c>
      <c r="E279" s="55">
        <f>'Ref. ACS-5-YR'!F1026</f>
        <v>0.13316657733309512</v>
      </c>
      <c r="F279" s="16">
        <f>'Ref. ACS-5-YR'!H1026</f>
        <v>2185</v>
      </c>
      <c r="G279" s="55">
        <f>'Ref. ACS-5-YR'!I1026</f>
        <v>0.12416183657233777</v>
      </c>
      <c r="I279" s="42"/>
    </row>
    <row r="280" spans="1:9" x14ac:dyDescent="0.3">
      <c r="A280" s="13" t="s">
        <v>1324</v>
      </c>
      <c r="B280" s="16">
        <f>'Ref. ACS-5-YR'!B1027</f>
        <v>1415</v>
      </c>
      <c r="C280" s="55">
        <f>'Ref. ACS-5-YR'!C1027</f>
        <v>8.9235038153496885E-2</v>
      </c>
      <c r="D280" s="16">
        <f>'Ref. ACS-5-YR'!E1027</f>
        <v>1043</v>
      </c>
      <c r="E280" s="55">
        <f>'Ref. ACS-5-YR'!F1027</f>
        <v>6.2116610088738013E-2</v>
      </c>
      <c r="F280" s="16">
        <f>'Ref. ACS-5-YR'!H1027</f>
        <v>1715</v>
      </c>
      <c r="G280" s="55">
        <f>'Ref. ACS-5-YR'!I1027</f>
        <v>9.7454256165473346E-2</v>
      </c>
      <c r="I280" s="42"/>
    </row>
    <row r="281" spans="1:9" x14ac:dyDescent="0.3">
      <c r="A281" s="13" t="s">
        <v>1325</v>
      </c>
      <c r="B281" s="16">
        <f>'Ref. ACS-5-YR'!B1028</f>
        <v>1363</v>
      </c>
      <c r="C281" s="55">
        <f>'Ref. ACS-5-YR'!C1028</f>
        <v>8.5955729330894876E-2</v>
      </c>
      <c r="D281" s="16">
        <f>'Ref. ACS-5-YR'!E1028</f>
        <v>1448</v>
      </c>
      <c r="E281" s="55">
        <f>'Ref. ACS-5-YR'!F1028</f>
        <v>8.6236674408909531E-2</v>
      </c>
      <c r="F281" s="16">
        <f>'Ref. ACS-5-YR'!H1028</f>
        <v>1587</v>
      </c>
      <c r="G281" s="55">
        <f>'Ref. ACS-5-YR'!I1028</f>
        <v>9.0180702352540068E-2</v>
      </c>
      <c r="I281" s="42"/>
    </row>
    <row r="282" spans="1:9" x14ac:dyDescent="0.3">
      <c r="A282" s="13" t="s">
        <v>1326</v>
      </c>
      <c r="B282" s="16">
        <f>'Ref. ACS-5-YR'!B1029</f>
        <v>742</v>
      </c>
      <c r="C282" s="55">
        <f>'Ref. ACS-5-YR'!C1029</f>
        <v>4.6793214353282465E-2</v>
      </c>
      <c r="D282" s="16">
        <f>'Ref. ACS-5-YR'!E1029</f>
        <v>1156</v>
      </c>
      <c r="E282" s="55">
        <f>'Ref. ACS-5-YR'!F1029</f>
        <v>6.884640581263772E-2</v>
      </c>
      <c r="F282" s="16">
        <f>'Ref. ACS-5-YR'!H1029</f>
        <v>1055</v>
      </c>
      <c r="G282" s="55">
        <f>'Ref. ACS-5-YR'!I1029</f>
        <v>5.994999431753608E-2</v>
      </c>
      <c r="I282" s="42"/>
    </row>
    <row r="283" spans="1:9" x14ac:dyDescent="0.3">
      <c r="A283" s="13" t="s">
        <v>1327</v>
      </c>
      <c r="B283" s="16">
        <f>'Ref. ACS-5-YR'!B1030</f>
        <v>505</v>
      </c>
      <c r="C283" s="55">
        <f>'Ref. ACS-5-YR'!C1030</f>
        <v>3.1847133757961783E-2</v>
      </c>
      <c r="D283" s="16">
        <f>'Ref. ACS-5-YR'!E1030</f>
        <v>548</v>
      </c>
      <c r="E283" s="55">
        <f>'Ref. ACS-5-YR'!F1030</f>
        <v>3.2636531475195046E-2</v>
      </c>
      <c r="F283" s="16">
        <f>'Ref. ACS-5-YR'!H1030</f>
        <v>534</v>
      </c>
      <c r="G283" s="55">
        <f>'Ref. ACS-5-YR'!I1030</f>
        <v>3.0344357313331061E-2</v>
      </c>
      <c r="I283" s="42"/>
    </row>
    <row r="284" spans="1:9" x14ac:dyDescent="0.3">
      <c r="A284" s="13" t="s">
        <v>1395</v>
      </c>
      <c r="B284" s="16">
        <f>'Ref. ACS-5-YR'!B1031</f>
        <v>384</v>
      </c>
      <c r="C284" s="55">
        <f>'Ref. ACS-5-YR'!C1031</f>
        <v>2.4216434382291731E-2</v>
      </c>
      <c r="D284" s="16">
        <f>'Ref. ACS-5-YR'!E1031</f>
        <v>244</v>
      </c>
      <c r="E284" s="55">
        <f>'Ref. ACS-5-YR'!F1031</f>
        <v>1.4531594306473706E-2</v>
      </c>
      <c r="F284" s="16">
        <f>'Ref. ACS-5-YR'!H1031</f>
        <v>532</v>
      </c>
      <c r="G284" s="55">
        <f>'Ref. ACS-5-YR'!I1031</f>
        <v>3.0230708035003977E-2</v>
      </c>
      <c r="I284" s="42"/>
    </row>
    <row r="285" spans="1:9" x14ac:dyDescent="0.3">
      <c r="A285" s="13" t="s">
        <v>1388</v>
      </c>
      <c r="B285" s="16">
        <f>'Ref. ACS-5-YR'!B1032</f>
        <v>7776</v>
      </c>
      <c r="C285" s="55">
        <f>'Ref. ACS-5-YR'!C1032</f>
        <v>0.49038279624140757</v>
      </c>
      <c r="D285" s="16">
        <f>'Ref. ACS-5-YR'!E1032</f>
        <v>8775</v>
      </c>
      <c r="E285" s="55">
        <f>'Ref. ACS-5-YR'!F1032</f>
        <v>0.52260139360371627</v>
      </c>
      <c r="F285" s="16">
        <f>'Ref. ACS-5-YR'!H1032</f>
        <v>8689</v>
      </c>
      <c r="G285" s="55">
        <f>'Ref. ACS-5-YR'!I1032</f>
        <v>0.49374928969201043</v>
      </c>
      <c r="I285" s="42"/>
    </row>
    <row r="286" spans="1:9" x14ac:dyDescent="0.3">
      <c r="A286" s="13" t="s">
        <v>1330</v>
      </c>
      <c r="B286" s="16">
        <f>'Ref. ACS-5-YR'!B1033</f>
        <v>1485</v>
      </c>
      <c r="C286" s="55">
        <f>'Ref. ACS-5-YR'!C1033</f>
        <v>9.3649492337768814E-2</v>
      </c>
      <c r="D286" s="16">
        <f>'Ref. ACS-5-YR'!E1033</f>
        <v>1681</v>
      </c>
      <c r="E286" s="55">
        <f>'Ref. ACS-5-YR'!F1033</f>
        <v>0.10011315585730451</v>
      </c>
      <c r="F286" s="16">
        <f>'Ref. ACS-5-YR'!H1033</f>
        <v>1193</v>
      </c>
      <c r="G286" s="55">
        <f>'Ref. ACS-5-YR'!I1033</f>
        <v>6.7791794522104779E-2</v>
      </c>
      <c r="I286" s="42"/>
    </row>
    <row r="287" spans="1:9" x14ac:dyDescent="0.3">
      <c r="A287" s="13" t="s">
        <v>1323</v>
      </c>
      <c r="B287" s="16">
        <f>'Ref. ACS-5-YR'!B1034</f>
        <v>955</v>
      </c>
      <c r="C287" s="55">
        <f>'Ref. ACS-5-YR'!C1034</f>
        <v>6.0225767799709909E-2</v>
      </c>
      <c r="D287" s="16">
        <f>'Ref. ACS-5-YR'!E1034</f>
        <v>1240</v>
      </c>
      <c r="E287" s="55">
        <f>'Ref. ACS-5-YR'!F1034</f>
        <v>7.3849085819784402E-2</v>
      </c>
      <c r="F287" s="16">
        <f>'Ref. ACS-5-YR'!H1034</f>
        <v>1498</v>
      </c>
      <c r="G287" s="55">
        <f>'Ref. ACS-5-YR'!I1034</f>
        <v>8.5123309466984889E-2</v>
      </c>
      <c r="I287" s="42"/>
    </row>
    <row r="288" spans="1:9" x14ac:dyDescent="0.3">
      <c r="A288" s="13" t="s">
        <v>1324</v>
      </c>
      <c r="B288" s="16">
        <f>'Ref. ACS-5-YR'!B1035</f>
        <v>1327</v>
      </c>
      <c r="C288" s="55">
        <f>'Ref. ACS-5-YR'!C1035</f>
        <v>8.3685438607555021E-2</v>
      </c>
      <c r="D288" s="16">
        <f>'Ref. ACS-5-YR'!E1035</f>
        <v>1387</v>
      </c>
      <c r="E288" s="55">
        <f>'Ref. ACS-5-YR'!F1035</f>
        <v>8.2603775832291101E-2</v>
      </c>
      <c r="F288" s="16">
        <f>'Ref. ACS-5-YR'!H1035</f>
        <v>1503</v>
      </c>
      <c r="G288" s="55">
        <f>'Ref. ACS-5-YR'!I1035</f>
        <v>8.5407432662802596E-2</v>
      </c>
      <c r="I288" s="42"/>
    </row>
    <row r="289" spans="1:10" x14ac:dyDescent="0.3">
      <c r="A289" s="13" t="s">
        <v>1325</v>
      </c>
      <c r="B289" s="16">
        <f>'Ref. ACS-5-YR'!B1036</f>
        <v>1536</v>
      </c>
      <c r="C289" s="55">
        <f>'Ref. ACS-5-YR'!C1036</f>
        <v>9.6865737529166926E-2</v>
      </c>
      <c r="D289" s="16">
        <f>'Ref. ACS-5-YR'!E1036</f>
        <v>2032</v>
      </c>
      <c r="E289" s="55">
        <f>'Ref. ACS-5-YR'!F1036</f>
        <v>0.12101721160145316</v>
      </c>
      <c r="F289" s="16">
        <f>'Ref. ACS-5-YR'!H1036</f>
        <v>1548</v>
      </c>
      <c r="G289" s="55">
        <f>'Ref. ACS-5-YR'!I1036</f>
        <v>8.7964541425161955E-2</v>
      </c>
      <c r="I289" s="42"/>
    </row>
    <row r="290" spans="1:10" x14ac:dyDescent="0.3">
      <c r="A290" s="13" t="s">
        <v>1326</v>
      </c>
      <c r="B290" s="16">
        <f>'Ref. ACS-5-YR'!B1037</f>
        <v>1261</v>
      </c>
      <c r="C290" s="55">
        <f>'Ref. ACS-5-YR'!C1037</f>
        <v>7.9523238948098637E-2</v>
      </c>
      <c r="D290" s="16">
        <f>'Ref. ACS-5-YR'!E1037</f>
        <v>1235</v>
      </c>
      <c r="E290" s="55">
        <f>'Ref. ACS-5-YR'!F1037</f>
        <v>7.3551307247930436E-2</v>
      </c>
      <c r="F290" s="16">
        <f>'Ref. ACS-5-YR'!H1037</f>
        <v>1266</v>
      </c>
      <c r="G290" s="55">
        <f>'Ref. ACS-5-YR'!I1037</f>
        <v>7.1939993181043299E-2</v>
      </c>
      <c r="I290" s="42"/>
    </row>
    <row r="291" spans="1:10" x14ac:dyDescent="0.3">
      <c r="A291" s="13" t="s">
        <v>1327</v>
      </c>
      <c r="B291" s="16">
        <f>'Ref. ACS-5-YR'!B1038</f>
        <v>522</v>
      </c>
      <c r="C291" s="55">
        <f>'Ref. ACS-5-YR'!C1038</f>
        <v>3.2919215488427821E-2</v>
      </c>
      <c r="D291" s="16">
        <f>'Ref. ACS-5-YR'!E1038</f>
        <v>702</v>
      </c>
      <c r="E291" s="55">
        <f>'Ref. ACS-5-YR'!F1038</f>
        <v>4.18081114882973E-2</v>
      </c>
      <c r="F291" s="16">
        <f>'Ref. ACS-5-YR'!H1038</f>
        <v>1033</v>
      </c>
      <c r="G291" s="55">
        <f>'Ref. ACS-5-YR'!I1038</f>
        <v>5.8699852255938177E-2</v>
      </c>
      <c r="I291" s="42"/>
    </row>
    <row r="292" spans="1:10" x14ac:dyDescent="0.3">
      <c r="A292" s="13" t="s">
        <v>1395</v>
      </c>
      <c r="B292" s="16">
        <f>'Ref. ACS-5-YR'!B1039</f>
        <v>690</v>
      </c>
      <c r="C292" s="55">
        <f>'Ref. ACS-5-YR'!C1039</f>
        <v>4.3513905530680456E-2</v>
      </c>
      <c r="D292" s="16">
        <f>'Ref. ACS-5-YR'!E1039</f>
        <v>498</v>
      </c>
      <c r="E292" s="55">
        <f>'Ref. ACS-5-YR'!F1039</f>
        <v>2.965874575665535E-2</v>
      </c>
      <c r="F292" s="16">
        <f>'Ref. ACS-5-YR'!H1039</f>
        <v>648</v>
      </c>
      <c r="G292" s="55">
        <f>'Ref. ACS-5-YR'!I1039</f>
        <v>3.6822366177974769E-2</v>
      </c>
      <c r="I292" s="42" t="str">
        <f>A293</f>
        <v>Source: U.S. Census Bureau, ACS 06-10, 11-15, 16-20 (5-year Estimates), Table B25009</v>
      </c>
    </row>
    <row r="293" spans="1:10" x14ac:dyDescent="0.3">
      <c r="A293" t="s">
        <v>1400</v>
      </c>
      <c r="I293" s="42"/>
    </row>
    <row r="295" spans="1:10" x14ac:dyDescent="0.3">
      <c r="A295" s="88" t="s">
        <v>1401</v>
      </c>
      <c r="I295" s="61" t="s">
        <v>2498</v>
      </c>
    </row>
    <row r="296" spans="1:10" ht="28.8" x14ac:dyDescent="0.3">
      <c r="A296" s="80"/>
      <c r="B296" s="60" t="str">
        <f>Housing!B3</f>
        <v>City of Madera</v>
      </c>
      <c r="C296" s="60" t="str">
        <f>Housing!B4</f>
        <v>Madera County</v>
      </c>
      <c r="D296" s="60" t="s">
        <v>173</v>
      </c>
      <c r="H296" s="271"/>
      <c r="I296" s="42"/>
      <c r="J296" s="58"/>
    </row>
    <row r="297" spans="1:10" x14ac:dyDescent="0.3">
      <c r="A297" s="13" t="s">
        <v>1401</v>
      </c>
      <c r="B297" s="10">
        <f>'Ref. ACS-5-YR'!H1209</f>
        <v>1233</v>
      </c>
      <c r="C297" s="10">
        <f>'Ref. ACS-5-YR'!R1209</f>
        <v>1240</v>
      </c>
      <c r="D297" s="10">
        <f>'Ref. ACS-5-YR'!AB1209</f>
        <v>1851</v>
      </c>
      <c r="H297" s="270"/>
      <c r="I297" s="42"/>
      <c r="J297" s="54"/>
    </row>
    <row r="298" spans="1:10" x14ac:dyDescent="0.3">
      <c r="A298" t="s">
        <v>1402</v>
      </c>
      <c r="I298" s="42"/>
    </row>
    <row r="299" spans="1:10" ht="26.4" customHeight="1" x14ac:dyDescent="0.3">
      <c r="A299" s="355" t="s">
        <v>2540</v>
      </c>
      <c r="B299" s="355"/>
      <c r="C299" s="355"/>
      <c r="D299" s="355"/>
      <c r="E299" s="355"/>
      <c r="F299" s="355"/>
      <c r="G299" s="355"/>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1298</v>
      </c>
      <c r="C305" s="10">
        <f>'Ref. ACS-5-YR Add.'!E52</f>
        <v>1057</v>
      </c>
      <c r="D305" s="10">
        <f>'Ref. ACS-5-YR Add.'!H52</f>
        <v>1233</v>
      </c>
      <c r="I305" s="42"/>
    </row>
    <row r="306" spans="1:10" x14ac:dyDescent="0.3">
      <c r="A306" s="13" t="s">
        <v>177</v>
      </c>
      <c r="B306" s="3"/>
      <c r="C306" s="4">
        <f>(C305-B305)/B305</f>
        <v>-0.18567026194144839</v>
      </c>
      <c r="D306" s="4">
        <f>(D305-C305)/C305</f>
        <v>0.16650898770104069</v>
      </c>
      <c r="I306" s="42"/>
    </row>
    <row r="307" spans="1:10" x14ac:dyDescent="0.3">
      <c r="A307" t="s">
        <v>1404</v>
      </c>
      <c r="I307" s="42"/>
    </row>
    <row r="308" spans="1:10" ht="27" customHeight="1" x14ac:dyDescent="0.3">
      <c r="A308" s="355" t="s">
        <v>2540</v>
      </c>
      <c r="B308" s="355"/>
      <c r="C308" s="355"/>
      <c r="D308" s="355"/>
      <c r="E308" s="355"/>
      <c r="F308" s="355"/>
      <c r="G308" s="355"/>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Madera</v>
      </c>
      <c r="C315" s="60" t="s">
        <v>179</v>
      </c>
      <c r="D315" s="60" t="str">
        <f>Housing!B4</f>
        <v>Madera County</v>
      </c>
      <c r="E315" s="60" t="s">
        <v>1445</v>
      </c>
      <c r="F315" s="60" t="s">
        <v>173</v>
      </c>
      <c r="G315" s="60" t="s">
        <v>1446</v>
      </c>
      <c r="H315" s="271"/>
      <c r="I315" s="42"/>
      <c r="J315" s="58"/>
    </row>
    <row r="316" spans="1:10" x14ac:dyDescent="0.3">
      <c r="A316" s="13" t="s">
        <v>1407</v>
      </c>
      <c r="B316" s="5">
        <f>'Ref. ACS-5-YR'!H1241/100</f>
        <v>0.19</v>
      </c>
      <c r="C316" s="55"/>
      <c r="D316" s="5">
        <f>'Ref. ACS-5-YR'!R1241/100</f>
        <v>0.193</v>
      </c>
      <c r="E316" s="55">
        <f>B316/D316</f>
        <v>0.98445595854922274</v>
      </c>
      <c r="F316" s="5">
        <f>'Ref. ACS-5-YR'!AB1241/100</f>
        <v>0.214</v>
      </c>
      <c r="G316" s="55">
        <f>B316/F316</f>
        <v>0.88785046728971961</v>
      </c>
      <c r="H316" s="270"/>
      <c r="I316" s="42"/>
      <c r="J316" s="54"/>
    </row>
    <row r="317" spans="1:10" x14ac:dyDescent="0.3">
      <c r="A317" t="s">
        <v>1408</v>
      </c>
      <c r="I317" s="42"/>
    </row>
    <row r="318" spans="1:10" s="72" customFormat="1" ht="29.4" customHeight="1" x14ac:dyDescent="0.3">
      <c r="A318" s="355" t="s">
        <v>2540</v>
      </c>
      <c r="B318" s="355"/>
      <c r="C318" s="355"/>
      <c r="D318" s="355"/>
      <c r="E318" s="355"/>
      <c r="F318" s="355"/>
      <c r="G318" s="355"/>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2486</v>
      </c>
    </row>
    <row r="327" spans="1:10" x14ac:dyDescent="0.3">
      <c r="A327" s="1" t="s">
        <v>1409</v>
      </c>
      <c r="I327" s="42"/>
    </row>
    <row r="328" spans="1:10" ht="28.8" x14ac:dyDescent="0.3">
      <c r="A328" s="80"/>
      <c r="B328" s="60" t="str">
        <f>Housing!B3</f>
        <v>City of Madera</v>
      </c>
      <c r="C328" s="60" t="s">
        <v>179</v>
      </c>
      <c r="D328" s="60" t="str">
        <f>Housing!B4</f>
        <v>Madera County</v>
      </c>
      <c r="E328" s="60" t="s">
        <v>179</v>
      </c>
      <c r="F328" s="60" t="s">
        <v>173</v>
      </c>
      <c r="G328" s="60" t="s">
        <v>179</v>
      </c>
      <c r="H328" s="271"/>
      <c r="I328" s="61" t="s">
        <v>1410</v>
      </c>
      <c r="J328" s="58"/>
    </row>
    <row r="329" spans="1:10" x14ac:dyDescent="0.3">
      <c r="A329" s="13" t="s">
        <v>174</v>
      </c>
      <c r="B329" s="16">
        <f>(SUM('Ref. ACS-5-YR'!H1222:H1225))+(SUM('Ref. ACS-5-YR'!H1233:H1236))</f>
        <v>2325</v>
      </c>
      <c r="C329" s="55">
        <f>SUM('Ref. ACS-5-YR'!I1222,'Ref. ACS-5-YR'!I1223,'Ref. ACS-5-YR'!I1224,'Ref. ACS-5-YR'!I1225,'Ref. ACS-5-YR'!I1233,'Ref. ACS-5-YR'!I1234,'Ref. ACS-5-YR'!I1235,'Ref. ACS-5-YR'!I1236)</f>
        <v>0.26097205073521157</v>
      </c>
      <c r="D329" s="16">
        <f>SUM('Ref. ACS-5-YR'!R1222,'Ref. ACS-5-YR'!R1223,'Ref. ACS-5-YR'!R1224,'Ref. ACS-5-YR'!R1225,'Ref. ACS-5-YR'!R1233,'Ref. ACS-5-YR'!R1234,'Ref. ACS-5-YR'!R1235,'Ref. ACS-5-YR'!R1236)</f>
        <v>8387</v>
      </c>
      <c r="E329" s="55">
        <f>SUM('Ref. ACS-5-YR'!S1222,'Ref. ACS-5-YR'!S1223,'Ref. ACS-5-YR'!S1224,'Ref. ACS-5-YR'!S1225,'Ref. ACS-5-YR'!S1233,'Ref. ACS-5-YR'!S1234,'Ref. ACS-5-YR'!S1235,'Ref. ACS-5-YR'!S1236)</f>
        <v>0.28653911855141778</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5" t="s">
        <v>2484</v>
      </c>
      <c r="B331" s="355"/>
      <c r="C331" s="355"/>
      <c r="D331" s="355"/>
      <c r="E331" s="355"/>
      <c r="F331" s="355"/>
      <c r="G331" s="355"/>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376</v>
      </c>
      <c r="C335" s="16">
        <f>SUM('Ref. DC-1990'!B63,'Ref. DC-1990'!B70,'Ref. DC-1990'!B77,'Ref. DC-1990'!B84,'Ref. DC-1990'!B91)</f>
        <v>575</v>
      </c>
      <c r="D335" s="16">
        <f>SUM('Ref. DC-2000'!B75:B77,'Ref. DC-2000'!B86:B88)</f>
        <v>1382</v>
      </c>
      <c r="E335" s="16">
        <f>SUM('Ref. ACS-5-YR'!B1223:B1225,'Ref. ACS-5-YR'!B1234:B1236)</f>
        <v>2863</v>
      </c>
      <c r="F335" s="16">
        <f>SUM('Ref. ACS-5-YR'!H1223:H1225,'Ref. ACS-5-YR'!H1234:H1236)</f>
        <v>1754</v>
      </c>
      <c r="H335" s="267"/>
      <c r="I335" s="42"/>
      <c r="J335" s="2"/>
    </row>
    <row r="336" spans="1:10" x14ac:dyDescent="0.3">
      <c r="A336" s="13" t="s">
        <v>177</v>
      </c>
      <c r="B336" s="3"/>
      <c r="C336" s="4">
        <f>(C335-B335)/B335</f>
        <v>0.5292553191489362</v>
      </c>
      <c r="D336" s="4">
        <f>(D335-C335)/C335</f>
        <v>1.4034782608695653</v>
      </c>
      <c r="E336" s="4">
        <f>(E335-D335)/D335</f>
        <v>1.0716353111432706</v>
      </c>
      <c r="F336" s="4">
        <f>(F335-E335)/E335</f>
        <v>-0.38735592036325533</v>
      </c>
      <c r="H336" s="268"/>
      <c r="I336" s="42"/>
      <c r="J336" s="19"/>
    </row>
    <row r="337" spans="1:10" x14ac:dyDescent="0.3">
      <c r="A337" t="s">
        <v>1414</v>
      </c>
      <c r="I337" s="42"/>
    </row>
    <row r="338" spans="1:10" s="72" customFormat="1" x14ac:dyDescent="0.3">
      <c r="A338" s="355" t="s">
        <v>2484</v>
      </c>
      <c r="B338" s="355"/>
      <c r="C338" s="355"/>
      <c r="D338" s="355"/>
      <c r="E338" s="355"/>
      <c r="F338" s="355"/>
      <c r="G338" s="355"/>
      <c r="H338" s="274"/>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1415</v>
      </c>
      <c r="I345" s="61" t="s">
        <v>2499</v>
      </c>
    </row>
    <row r="346" spans="1:10" ht="28.8" x14ac:dyDescent="0.3">
      <c r="A346" s="80"/>
      <c r="B346" s="60" t="str">
        <f>Housing!B3</f>
        <v>City of Madera</v>
      </c>
      <c r="C346" s="60" t="s">
        <v>179</v>
      </c>
      <c r="D346" s="60" t="str">
        <f>Housing!B4</f>
        <v>Madera County</v>
      </c>
      <c r="E346" s="60" t="s">
        <v>1445</v>
      </c>
      <c r="F346" s="60" t="s">
        <v>173</v>
      </c>
      <c r="G346" s="60" t="s">
        <v>1446</v>
      </c>
      <c r="H346" s="271"/>
      <c r="I346" s="42"/>
      <c r="J346" s="58"/>
    </row>
    <row r="347" spans="1:10" x14ac:dyDescent="0.3">
      <c r="A347" s="13" t="s">
        <v>1415</v>
      </c>
      <c r="B347" s="16">
        <f>'Ref. ACS-5-YR'!H1183</f>
        <v>1079</v>
      </c>
      <c r="C347" s="55"/>
      <c r="D347" s="16">
        <f>'Ref. ACS-5-YR'!R1183</f>
        <v>1068</v>
      </c>
      <c r="E347" s="55">
        <f>B347/D347</f>
        <v>1.0102996254681649</v>
      </c>
      <c r="F347" s="16">
        <f>'Ref. ACS-5-YR'!AB1183</f>
        <v>1586</v>
      </c>
      <c r="G347" s="55">
        <f>B347/F347</f>
        <v>0.68032786885245899</v>
      </c>
      <c r="H347" s="270"/>
      <c r="I347" s="42"/>
      <c r="J347" s="54"/>
    </row>
    <row r="348" spans="1:10" x14ac:dyDescent="0.3">
      <c r="A348" t="s">
        <v>2456</v>
      </c>
      <c r="I348" s="42"/>
    </row>
    <row r="349" spans="1:10" ht="25.95" customHeight="1" x14ac:dyDescent="0.3">
      <c r="A349" s="355" t="s">
        <v>2540</v>
      </c>
      <c r="B349" s="355"/>
      <c r="C349" s="355"/>
      <c r="D349" s="355"/>
      <c r="E349" s="355"/>
      <c r="F349" s="355"/>
      <c r="G349" s="355"/>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216</v>
      </c>
      <c r="C354" s="10">
        <f>'Ref. DC-1990'!B98</f>
        <v>412</v>
      </c>
      <c r="D354" s="10">
        <f>'Ref. DC-2000'!B48</f>
        <v>527</v>
      </c>
      <c r="E354" s="10">
        <f>'Ref. ACS-5-YR Add.'!B24</f>
        <v>841</v>
      </c>
      <c r="F354" s="10">
        <f>'Ref. ACS-5-YR Add.'!H24</f>
        <v>1079</v>
      </c>
      <c r="H354" s="278"/>
      <c r="I354" s="42"/>
      <c r="J354" s="24"/>
    </row>
    <row r="355" spans="1:10" x14ac:dyDescent="0.3">
      <c r="A355" s="13" t="s">
        <v>177</v>
      </c>
      <c r="B355" s="3"/>
      <c r="C355" s="4">
        <f>(C354-B354)/B354</f>
        <v>0.90740740740740744</v>
      </c>
      <c r="D355" s="4">
        <f>(D354-C354)/C354</f>
        <v>0.279126213592233</v>
      </c>
      <c r="E355" s="4">
        <f>(E354-D354)/D354</f>
        <v>0.59582542694497154</v>
      </c>
      <c r="F355" s="4">
        <f>(F354-E354)/E354</f>
        <v>0.28299643281807374</v>
      </c>
      <c r="H355" s="268"/>
      <c r="I355" s="42"/>
      <c r="J355" s="19"/>
    </row>
    <row r="356" spans="1:10" x14ac:dyDescent="0.3">
      <c r="A356" s="47" t="s">
        <v>1417</v>
      </c>
      <c r="I356" s="42"/>
    </row>
    <row r="357" spans="1:10" ht="28.95" customHeight="1" x14ac:dyDescent="0.3">
      <c r="A357" s="355" t="s">
        <v>2540</v>
      </c>
      <c r="B357" s="355"/>
      <c r="C357" s="355"/>
      <c r="D357" s="355"/>
      <c r="E357" s="355"/>
      <c r="F357" s="355"/>
      <c r="G357" s="355"/>
      <c r="I357" s="42"/>
    </row>
    <row r="358" spans="1:10" s="72" customFormat="1" ht="14.4" customHeight="1" x14ac:dyDescent="0.3">
      <c r="A358" s="359" t="s">
        <v>2473</v>
      </c>
      <c r="B358" s="359"/>
      <c r="C358" s="359"/>
      <c r="D358" s="359"/>
      <c r="E358" s="359"/>
      <c r="F358" s="359"/>
      <c r="G358" s="359"/>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1418</v>
      </c>
      <c r="I366" s="61" t="s">
        <v>1419</v>
      </c>
    </row>
    <row r="367" spans="1:10" ht="28.8" x14ac:dyDescent="0.3">
      <c r="A367" s="80"/>
      <c r="B367" s="60" t="str">
        <f>Housing!B3</f>
        <v>City of Madera</v>
      </c>
      <c r="C367" s="60" t="s">
        <v>179</v>
      </c>
      <c r="D367" s="60" t="str">
        <f>Housing!B4</f>
        <v>Madera County</v>
      </c>
      <c r="E367" s="60" t="s">
        <v>1445</v>
      </c>
      <c r="F367" s="60" t="s">
        <v>173</v>
      </c>
      <c r="G367" s="60" t="s">
        <v>1446</v>
      </c>
      <c r="H367" s="271"/>
      <c r="I367" s="42"/>
      <c r="J367" s="58"/>
    </row>
    <row r="368" spans="1:10" x14ac:dyDescent="0.3">
      <c r="A368" s="13" t="s">
        <v>1407</v>
      </c>
      <c r="B368" s="5">
        <f>'Ref. ACS-5-YR'!H1201/100</f>
        <v>0.33100000000000002</v>
      </c>
      <c r="C368" s="55"/>
      <c r="D368" s="5">
        <f>'Ref. ACS-5-YR'!R1201/100</f>
        <v>0.30299999999999999</v>
      </c>
      <c r="E368" s="55">
        <f>B368/D368</f>
        <v>1.0924092409240924</v>
      </c>
      <c r="F368" s="5">
        <f>'Ref. ACS-5-YR'!AB1201/100</f>
        <v>0.32200000000000001</v>
      </c>
      <c r="G368" s="55">
        <f>B368/F368</f>
        <v>1.0279503105590062</v>
      </c>
      <c r="H368" s="270"/>
      <c r="I368" s="42"/>
      <c r="J368" s="54"/>
    </row>
    <row r="369" spans="1:10" x14ac:dyDescent="0.3">
      <c r="A369" t="s">
        <v>2457</v>
      </c>
      <c r="I369" s="42"/>
    </row>
    <row r="370" spans="1:10" ht="28.2" customHeight="1" x14ac:dyDescent="0.3">
      <c r="A370" s="355" t="s">
        <v>2540</v>
      </c>
      <c r="B370" s="355"/>
      <c r="C370" s="355"/>
      <c r="D370" s="355"/>
      <c r="E370" s="355"/>
      <c r="F370" s="355"/>
      <c r="G370" s="35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2486</v>
      </c>
    </row>
    <row r="377" spans="1:10" x14ac:dyDescent="0.3">
      <c r="I377" s="42"/>
    </row>
    <row r="378" spans="1:10" x14ac:dyDescent="0.3">
      <c r="A378" s="1" t="s">
        <v>1420</v>
      </c>
      <c r="I378" s="61" t="s">
        <v>1421</v>
      </c>
    </row>
    <row r="379" spans="1:10" ht="28.8" x14ac:dyDescent="0.3">
      <c r="A379" s="80"/>
      <c r="B379" s="60" t="str">
        <f>Housing!B3</f>
        <v>City of Madera</v>
      </c>
      <c r="C379" s="60" t="s">
        <v>179</v>
      </c>
      <c r="D379" s="60" t="str">
        <f>Housing!B4</f>
        <v>Madera County</v>
      </c>
      <c r="E379" s="60" t="s">
        <v>179</v>
      </c>
      <c r="F379" s="60" t="s">
        <v>173</v>
      </c>
      <c r="G379" s="60" t="s">
        <v>179</v>
      </c>
      <c r="H379" s="271"/>
      <c r="I379" s="37"/>
      <c r="J379" s="58"/>
    </row>
    <row r="380" spans="1:10" x14ac:dyDescent="0.3">
      <c r="A380" s="13" t="s">
        <v>1413</v>
      </c>
      <c r="B380" s="16">
        <f>SUM('Ref. ACS-5-YR'!H1193,'Ref. ACS-5-YR'!H1194,'Ref. ACS-5-YR'!H1195,'Ref. ACS-5-YR'!H1196)</f>
        <v>4643</v>
      </c>
      <c r="C380" s="55">
        <f>SUM('Ref. ACS-5-YR'!I1193,'Ref. ACS-5-YR'!I1194,'Ref. ACS-5-YR'!I1195,'Ref. ACS-5-YR'!I1196)</f>
        <v>0.5343537806421913</v>
      </c>
      <c r="D380" s="16">
        <f>SUM('Ref. ACS-5-YR'!R1193,'Ref. ACS-5-YR'!R1194,'Ref. ACS-5-YR'!R1195,'Ref. ACS-5-YR'!R1196)</f>
        <v>7004</v>
      </c>
      <c r="E380" s="55">
        <f>SUM('Ref. ACS-5-YR'!S1193,'Ref. ACS-5-YR'!S1194,'Ref. ACS-5-YR'!S1195,'Ref. ACS-5-YR'!S1196)</f>
        <v>0.4605167992635939</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5" t="s">
        <v>2484</v>
      </c>
      <c r="B382" s="355"/>
      <c r="C382" s="355"/>
      <c r="D382" s="355"/>
      <c r="E382" s="355"/>
      <c r="F382" s="355"/>
      <c r="G382" s="355"/>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722</v>
      </c>
      <c r="C386" s="16">
        <f>SUM('Ref. DC-1990'!B25,'Ref. DC-1990'!B32,'Ref. DC-1990'!B39,'Ref. DC-1990'!B46,'Ref. DC-1990'!B53)</f>
        <v>1611</v>
      </c>
      <c r="D386" s="16">
        <f>SUM('Ref. DC-2000'!B58:B60)</f>
        <v>2115</v>
      </c>
      <c r="E386" s="16">
        <f>SUM('Ref. ACS-5-YR'!B1194:B1196)</f>
        <v>3482</v>
      </c>
      <c r="F386" s="16">
        <f>SUM('Ref. ACS-5-YR'!H1194:H1196)</f>
        <v>3804</v>
      </c>
      <c r="H386" s="267"/>
      <c r="I386" s="42"/>
      <c r="J386" s="2"/>
    </row>
    <row r="387" spans="1:10" x14ac:dyDescent="0.3">
      <c r="A387" s="13" t="s">
        <v>177</v>
      </c>
      <c r="B387" s="3"/>
      <c r="C387" s="4">
        <f>(C386-B386)/B386</f>
        <v>1.2313019390581716</v>
      </c>
      <c r="D387" s="4">
        <f>(D386-C386)/C386</f>
        <v>0.31284916201117319</v>
      </c>
      <c r="E387" s="4">
        <f>(E386-D386)/D386</f>
        <v>0.64633569739952723</v>
      </c>
      <c r="F387" s="4">
        <f>(F386-E386)/E386</f>
        <v>9.2475588742102238E-2</v>
      </c>
      <c r="H387" s="268"/>
      <c r="I387" s="42"/>
      <c r="J387" s="19"/>
    </row>
    <row r="388" spans="1:10" x14ac:dyDescent="0.3">
      <c r="A388" t="s">
        <v>1424</v>
      </c>
      <c r="I388" s="42"/>
    </row>
    <row r="389" spans="1:10" s="72" customFormat="1" x14ac:dyDescent="0.3">
      <c r="A389" s="355" t="s">
        <v>2484</v>
      </c>
      <c r="B389" s="355"/>
      <c r="C389" s="355"/>
      <c r="D389" s="355"/>
      <c r="E389" s="355"/>
      <c r="F389" s="355"/>
      <c r="G389" s="355"/>
      <c r="H389" s="274"/>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354"/>
      <c r="B399" s="354"/>
      <c r="C399" s="354"/>
      <c r="D399" s="354"/>
      <c r="E399" s="354"/>
      <c r="I399" s="42"/>
    </row>
    <row r="400" spans="1:10" x14ac:dyDescent="0.3">
      <c r="A400" s="88" t="s">
        <v>2471</v>
      </c>
      <c r="B400" s="1" t="s">
        <v>1425</v>
      </c>
      <c r="I400" s="42"/>
    </row>
    <row r="401" spans="1:9" x14ac:dyDescent="0.3">
      <c r="A401" s="88" t="s">
        <v>2472</v>
      </c>
      <c r="B401" s="1" t="s">
        <v>1426</v>
      </c>
      <c r="I401" s="42"/>
    </row>
    <row r="402" spans="1:9" x14ac:dyDescent="0.3">
      <c r="I402" s="42"/>
    </row>
    <row r="403" spans="1:9" x14ac:dyDescent="0.3">
      <c r="A403" s="1" t="s">
        <v>1427</v>
      </c>
      <c r="I403" s="42"/>
    </row>
    <row r="404" spans="1:9" ht="28.8" x14ac:dyDescent="0.3">
      <c r="A404" s="80"/>
      <c r="B404" s="60" t="s">
        <v>1428</v>
      </c>
      <c r="C404" s="60" t="s">
        <v>1429</v>
      </c>
      <c r="D404" s="60" t="s">
        <v>1430</v>
      </c>
      <c r="E404" s="60" t="s">
        <v>174</v>
      </c>
      <c r="I404" s="61" t="str">
        <f>_xlfn.CONCAT(B401," - ",A410)</f>
        <v>Fresno City and County/Madera County CoC - Homelessness by Type Over Time (2005-2020)</v>
      </c>
    </row>
    <row r="405" spans="1:9" x14ac:dyDescent="0.3">
      <c r="A405" s="13" t="s">
        <v>1431</v>
      </c>
      <c r="B405" s="6">
        <v>815</v>
      </c>
      <c r="C405" s="6">
        <v>145</v>
      </c>
      <c r="D405" s="6">
        <v>2681</v>
      </c>
      <c r="E405" s="6">
        <f>SUM(B405:D405)</f>
        <v>3641</v>
      </c>
      <c r="I405" s="42"/>
    </row>
    <row r="406" spans="1:9" x14ac:dyDescent="0.3">
      <c r="A406" t="s">
        <v>1432</v>
      </c>
      <c r="I406" s="42"/>
    </row>
    <row r="407" spans="1:9" ht="27.6" customHeight="1" x14ac:dyDescent="0.3">
      <c r="A407" s="356" t="s">
        <v>2474</v>
      </c>
      <c r="B407" s="356"/>
      <c r="C407" s="356"/>
      <c r="D407" s="356"/>
      <c r="E407" s="356"/>
      <c r="F407" s="356"/>
      <c r="G407" s="356"/>
      <c r="I407" s="42"/>
    </row>
    <row r="408" spans="1:9" x14ac:dyDescent="0.3">
      <c r="A408" s="361"/>
      <c r="B408" s="361"/>
      <c r="C408" s="361"/>
      <c r="D408" s="361"/>
      <c r="E408" s="361"/>
      <c r="F408" s="361"/>
      <c r="G408" s="361"/>
      <c r="I408" s="42"/>
    </row>
    <row r="409" spans="1:9" x14ac:dyDescent="0.3">
      <c r="I409" s="42"/>
    </row>
    <row r="410" spans="1:9" x14ac:dyDescent="0.3">
      <c r="A410" s="1" t="s">
        <v>1433</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11644</v>
      </c>
      <c r="C412" s="16">
        <f t="shared" si="6"/>
        <v>3549</v>
      </c>
      <c r="D412" s="16">
        <f t="shared" si="6"/>
        <v>1383</v>
      </c>
      <c r="E412" s="16">
        <f>E413+E414+E415</f>
        <v>3641</v>
      </c>
      <c r="F412" s="261"/>
      <c r="I412" s="42"/>
    </row>
    <row r="413" spans="1:9" x14ac:dyDescent="0.3">
      <c r="A413" s="13" t="s">
        <v>1428</v>
      </c>
      <c r="B413" s="16">
        <v>2261</v>
      </c>
      <c r="C413" s="16">
        <v>787</v>
      </c>
      <c r="D413" s="16">
        <v>129</v>
      </c>
      <c r="E413" s="6">
        <f>B405</f>
        <v>815</v>
      </c>
      <c r="F413" s="261"/>
      <c r="I413" s="42"/>
    </row>
    <row r="414" spans="1:9" x14ac:dyDescent="0.3">
      <c r="A414" s="13" t="s">
        <v>1429</v>
      </c>
      <c r="B414" s="16">
        <v>2649</v>
      </c>
      <c r="C414" s="16">
        <v>420</v>
      </c>
      <c r="D414" s="16">
        <v>193</v>
      </c>
      <c r="E414" s="6">
        <f>C405</f>
        <v>145</v>
      </c>
      <c r="F414" s="261"/>
      <c r="I414" s="42"/>
    </row>
    <row r="415" spans="1:9" x14ac:dyDescent="0.3">
      <c r="A415" s="13" t="s">
        <v>1430</v>
      </c>
      <c r="B415" s="16">
        <v>6734</v>
      </c>
      <c r="C415" s="16">
        <v>2342</v>
      </c>
      <c r="D415" s="16">
        <v>1061</v>
      </c>
      <c r="E415" s="6">
        <f>D405</f>
        <v>2681</v>
      </c>
      <c r="F415" s="261"/>
      <c r="I415" s="42"/>
    </row>
    <row r="416" spans="1:9" x14ac:dyDescent="0.3">
      <c r="A416" t="s">
        <v>1434</v>
      </c>
      <c r="I416" s="42"/>
    </row>
    <row r="417" spans="1:9" ht="27.6" customHeight="1" x14ac:dyDescent="0.3">
      <c r="A417" s="356" t="s">
        <v>2474</v>
      </c>
      <c r="B417" s="356"/>
      <c r="C417" s="356"/>
      <c r="D417" s="356"/>
      <c r="E417" s="356"/>
      <c r="F417" s="356"/>
      <c r="G417" s="35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1435</v>
      </c>
      <c r="I421" s="42"/>
    </row>
    <row r="422" spans="1:9" ht="28.8" x14ac:dyDescent="0.3">
      <c r="A422" s="80"/>
      <c r="B422" s="60" t="s">
        <v>1428</v>
      </c>
      <c r="C422" s="60" t="s">
        <v>1429</v>
      </c>
      <c r="D422" s="60" t="s">
        <v>1430</v>
      </c>
      <c r="E422" s="60" t="s">
        <v>174</v>
      </c>
      <c r="I422" s="61" t="str">
        <f>_xlfn.CONCAT(B401," - ",A421)</f>
        <v>Fresno City and County/Madera County CoC - Homelessness by Type by Race (2020)</v>
      </c>
    </row>
    <row r="423" spans="1:9" x14ac:dyDescent="0.3">
      <c r="A423" s="13" t="s">
        <v>1436</v>
      </c>
      <c r="B423" s="6">
        <v>205</v>
      </c>
      <c r="C423" s="152">
        <v>32</v>
      </c>
      <c r="D423" s="152">
        <v>432</v>
      </c>
      <c r="E423" s="6">
        <f>SUM(B423:D423)</f>
        <v>669</v>
      </c>
      <c r="I423" s="42"/>
    </row>
    <row r="424" spans="1:9" x14ac:dyDescent="0.3">
      <c r="A424" s="13" t="s">
        <v>1437</v>
      </c>
      <c r="B424" s="6">
        <v>504</v>
      </c>
      <c r="C424" s="152">
        <v>99</v>
      </c>
      <c r="D424" s="152">
        <v>1543</v>
      </c>
      <c r="E424" s="6">
        <f t="shared" ref="E424:E429" si="7">SUM(B424:D424)</f>
        <v>2146</v>
      </c>
      <c r="I424" s="42"/>
    </row>
    <row r="425" spans="1:9" x14ac:dyDescent="0.3">
      <c r="A425" s="13" t="s">
        <v>1438</v>
      </c>
      <c r="B425" s="6">
        <v>12</v>
      </c>
      <c r="C425" s="152">
        <v>6</v>
      </c>
      <c r="D425" s="152">
        <v>46</v>
      </c>
      <c r="E425" s="6">
        <f t="shared" si="7"/>
        <v>64</v>
      </c>
      <c r="I425" s="42"/>
    </row>
    <row r="426" spans="1:9" x14ac:dyDescent="0.3">
      <c r="A426" s="13" t="s">
        <v>1439</v>
      </c>
      <c r="B426" s="6">
        <v>72</v>
      </c>
      <c r="C426" s="152">
        <v>1</v>
      </c>
      <c r="D426" s="152">
        <v>274</v>
      </c>
      <c r="E426" s="6">
        <f t="shared" si="7"/>
        <v>347</v>
      </c>
      <c r="I426" s="42"/>
    </row>
    <row r="427" spans="1:9" x14ac:dyDescent="0.3">
      <c r="A427" s="13" t="s">
        <v>1440</v>
      </c>
      <c r="B427" s="6">
        <v>11</v>
      </c>
      <c r="C427" s="152">
        <v>0</v>
      </c>
      <c r="D427" s="152">
        <v>26</v>
      </c>
      <c r="E427" s="6">
        <f>SUM(B427:D427)</f>
        <v>37</v>
      </c>
      <c r="I427" s="42"/>
    </row>
    <row r="428" spans="1:9" x14ac:dyDescent="0.3">
      <c r="A428" s="13" t="s">
        <v>1441</v>
      </c>
      <c r="B428" s="6">
        <v>11</v>
      </c>
      <c r="C428" s="152">
        <v>7</v>
      </c>
      <c r="D428" s="152">
        <v>360</v>
      </c>
      <c r="E428" s="6">
        <f t="shared" si="7"/>
        <v>378</v>
      </c>
      <c r="I428" s="42"/>
    </row>
    <row r="429" spans="1:9" x14ac:dyDescent="0.3">
      <c r="A429" s="13" t="s">
        <v>1431</v>
      </c>
      <c r="B429" s="6">
        <f>SUM(B423:B428)</f>
        <v>815</v>
      </c>
      <c r="C429" s="6">
        <f t="shared" ref="C429:D429" si="8">SUM(C423:C428)</f>
        <v>145</v>
      </c>
      <c r="D429" s="6">
        <f t="shared" si="8"/>
        <v>2681</v>
      </c>
      <c r="E429" s="6">
        <f t="shared" si="7"/>
        <v>3641</v>
      </c>
      <c r="I429" s="42"/>
    </row>
    <row r="430" spans="1:9" x14ac:dyDescent="0.3">
      <c r="A430" t="s">
        <v>1432</v>
      </c>
      <c r="B430" s="2"/>
      <c r="C430" s="2"/>
      <c r="D430" s="2"/>
      <c r="E430" s="2"/>
      <c r="I430" s="42"/>
    </row>
    <row r="431" spans="1:9" ht="27.6" customHeight="1" x14ac:dyDescent="0.3">
      <c r="A431" s="356" t="s">
        <v>2474</v>
      </c>
      <c r="B431" s="356"/>
      <c r="C431" s="356"/>
      <c r="D431" s="356"/>
      <c r="E431" s="356"/>
      <c r="F431" s="356"/>
      <c r="G431" s="35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1442</v>
      </c>
      <c r="I441" s="61" t="str">
        <f>_xlfn.CONCAT(B401," - ",A441)</f>
        <v>Fresno City and County/Madera County CoC - Homelessness by Hispanic or Latino Ethnicity (2020)</v>
      </c>
    </row>
    <row r="442" spans="1:9" ht="28.8" x14ac:dyDescent="0.3">
      <c r="A442" s="80"/>
      <c r="B442" s="60" t="s">
        <v>1428</v>
      </c>
      <c r="C442" s="60" t="s">
        <v>1429</v>
      </c>
      <c r="D442" s="60" t="s">
        <v>1430</v>
      </c>
      <c r="E442" s="60" t="s">
        <v>174</v>
      </c>
      <c r="I442" s="42"/>
    </row>
    <row r="443" spans="1:9" x14ac:dyDescent="0.3">
      <c r="A443" s="13" t="s">
        <v>1443</v>
      </c>
      <c r="B443" s="16">
        <v>348</v>
      </c>
      <c r="C443" s="152">
        <v>68</v>
      </c>
      <c r="D443" s="152">
        <v>1482</v>
      </c>
      <c r="E443" s="152">
        <f>SUM(B443:D443)</f>
        <v>1898</v>
      </c>
      <c r="I443" s="42"/>
    </row>
    <row r="444" spans="1:9" x14ac:dyDescent="0.3">
      <c r="A444" s="13" t="s">
        <v>1444</v>
      </c>
      <c r="B444" s="16">
        <v>467</v>
      </c>
      <c r="C444" s="152">
        <v>77</v>
      </c>
      <c r="D444" s="152">
        <v>1199</v>
      </c>
      <c r="E444" s="152">
        <f>SUM(B444:D444)</f>
        <v>1743</v>
      </c>
      <c r="I444" s="42"/>
    </row>
    <row r="445" spans="1:9" x14ac:dyDescent="0.3">
      <c r="A445" s="13" t="s">
        <v>1431</v>
      </c>
      <c r="B445" s="16">
        <f>SUM(B443:B444)</f>
        <v>815</v>
      </c>
      <c r="C445" s="16">
        <f t="shared" ref="C445:D445" si="9">SUM(C443:C444)</f>
        <v>145</v>
      </c>
      <c r="D445" s="16">
        <f t="shared" si="9"/>
        <v>2681</v>
      </c>
      <c r="E445" s="152">
        <f>SUM(B445:D445)</f>
        <v>3641</v>
      </c>
      <c r="I445" s="42"/>
    </row>
    <row r="446" spans="1:9" x14ac:dyDescent="0.3">
      <c r="A446" t="s">
        <v>1432</v>
      </c>
      <c r="B446" s="2"/>
      <c r="C446" s="2"/>
      <c r="D446" s="2"/>
      <c r="E446" s="2"/>
      <c r="I446" s="42"/>
    </row>
    <row r="447" spans="1:9" ht="27.6" customHeight="1" x14ac:dyDescent="0.3">
      <c r="A447" s="356" t="s">
        <v>2474</v>
      </c>
      <c r="B447" s="356"/>
      <c r="C447" s="356"/>
      <c r="D447" s="356"/>
      <c r="E447" s="356"/>
      <c r="F447" s="356"/>
      <c r="G447" s="35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84</v>
      </c>
      <c r="B1" s="364"/>
      <c r="C1" s="364"/>
      <c r="D1" s="364"/>
      <c r="E1" s="364"/>
      <c r="F1" s="364"/>
      <c r="G1" s="364"/>
      <c r="H1" s="364"/>
      <c r="I1" s="364"/>
      <c r="J1" s="350" t="s">
        <v>169</v>
      </c>
    </row>
    <row r="2" spans="1:10" x14ac:dyDescent="0.3">
      <c r="A2" s="351" t="s">
        <v>5</v>
      </c>
      <c r="B2" s="352"/>
      <c r="C2" s="352"/>
      <c r="D2" s="352"/>
      <c r="E2" s="352"/>
      <c r="F2" s="352"/>
      <c r="G2" s="352"/>
      <c r="H2" s="353"/>
      <c r="I2" s="98" t="s">
        <v>6</v>
      </c>
      <c r="J2" s="350"/>
    </row>
    <row r="3" spans="1:10" x14ac:dyDescent="0.3">
      <c r="A3" s="77" t="s">
        <v>0</v>
      </c>
      <c r="B3" s="77" t="str">
        <f>Population!B3</f>
        <v>City of Madera</v>
      </c>
      <c r="C3" s="65"/>
      <c r="D3" s="65"/>
      <c r="E3" s="65"/>
      <c r="F3" s="65"/>
      <c r="G3" s="65"/>
      <c r="H3" s="272"/>
      <c r="I3" s="76"/>
      <c r="J3" s="350"/>
    </row>
    <row r="4" spans="1:10" x14ac:dyDescent="0.3">
      <c r="A4" s="77" t="s">
        <v>2</v>
      </c>
      <c r="B4" s="77" t="str">
        <f>Population!B4</f>
        <v>Madera County</v>
      </c>
      <c r="C4" s="65"/>
      <c r="D4" s="65"/>
      <c r="E4" s="65"/>
      <c r="F4" s="65"/>
      <c r="G4" s="65"/>
      <c r="H4" s="272"/>
      <c r="I4" s="76"/>
      <c r="J4" s="350"/>
    </row>
    <row r="5" spans="1:10" ht="24" customHeight="1" x14ac:dyDescent="0.3">
      <c r="A5" s="66"/>
      <c r="B5" s="66"/>
      <c r="C5" s="66"/>
      <c r="D5" s="66"/>
      <c r="E5" s="66"/>
      <c r="F5" s="66"/>
      <c r="G5" s="66"/>
      <c r="H5" s="273"/>
      <c r="I5" s="75"/>
    </row>
    <row r="6" spans="1:10" x14ac:dyDescent="0.3">
      <c r="A6" s="88" t="s">
        <v>2451</v>
      </c>
      <c r="I6" s="61" t="s">
        <v>2497</v>
      </c>
    </row>
    <row r="7" spans="1:10" ht="28.8" x14ac:dyDescent="0.3">
      <c r="A7" s="57" t="s">
        <v>172</v>
      </c>
      <c r="B7" s="60" t="str">
        <f>B3</f>
        <v>City of Madera</v>
      </c>
      <c r="C7" s="60" t="str">
        <f>B4</f>
        <v>Madera County</v>
      </c>
      <c r="D7" s="60" t="s">
        <v>1445</v>
      </c>
      <c r="E7" s="60" t="s">
        <v>173</v>
      </c>
      <c r="F7" s="60" t="s">
        <v>1446</v>
      </c>
    </row>
    <row r="8" spans="1:10" x14ac:dyDescent="0.3">
      <c r="A8" s="69" t="s">
        <v>2452</v>
      </c>
      <c r="B8" s="10">
        <f>'Ref. ACS-5-YR'!H808</f>
        <v>49335</v>
      </c>
      <c r="C8" s="10">
        <f>'Ref. ACS-5-YR'!R808</f>
        <v>61924</v>
      </c>
      <c r="D8" s="55">
        <f>B8/C8</f>
        <v>0.79670240940507719</v>
      </c>
      <c r="E8" s="10">
        <f>'Ref. ACS-5-YR'!AB808</f>
        <v>78672</v>
      </c>
      <c r="F8" s="55">
        <f>B8/E8</f>
        <v>0.62709731543624159</v>
      </c>
      <c r="I8" s="37"/>
    </row>
    <row r="9" spans="1:10" x14ac:dyDescent="0.3">
      <c r="A9" s="362" t="s">
        <v>1447</v>
      </c>
      <c r="B9" s="362"/>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7" t="s">
        <v>2439</v>
      </c>
      <c r="I14" s="37"/>
    </row>
    <row r="15" spans="1:10" ht="58.95" customHeight="1" x14ac:dyDescent="0.3">
      <c r="A15" s="57"/>
      <c r="B15" s="79">
        <v>2010</v>
      </c>
      <c r="C15" s="79">
        <v>2015</v>
      </c>
      <c r="D15" s="79">
        <v>2020</v>
      </c>
      <c r="E15" s="108" t="s">
        <v>2440</v>
      </c>
      <c r="I15" s="37"/>
    </row>
    <row r="16" spans="1:10" x14ac:dyDescent="0.3">
      <c r="A16" s="13" t="str">
        <f>B3</f>
        <v>City of Madera</v>
      </c>
      <c r="B16" s="70">
        <f>'Ref. ACS-5-YR Add.'!B58</f>
        <v>972</v>
      </c>
      <c r="C16" s="70">
        <f>'Ref. ACS-5-YR Add.'!E58</f>
        <v>949</v>
      </c>
      <c r="D16" s="105">
        <f>'Ref. ACS-5-YR Add.'!H58</f>
        <v>1137</v>
      </c>
      <c r="E16" s="109">
        <f>'Ref. ACS-5-YR Add.'!K58</f>
        <v>0.16975308641975309</v>
      </c>
    </row>
    <row r="17" spans="1:9" x14ac:dyDescent="0.3">
      <c r="A17" s="100" t="str">
        <f>B4</f>
        <v>Madera County</v>
      </c>
      <c r="B17" s="101">
        <f>'Ref. ACS-5-YR Add.'!L58</f>
        <v>1051</v>
      </c>
      <c r="C17" s="101">
        <f>'Ref. ACS-5-YR Add.'!O58</f>
        <v>1003</v>
      </c>
      <c r="D17" s="106">
        <f>'Ref. ACS-5-YR Add.'!R58</f>
        <v>1153</v>
      </c>
      <c r="E17" s="109">
        <f>'Ref. ACS-5-YR Add.'!U58</f>
        <v>9.7050428163653668E-2</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1448</v>
      </c>
    </row>
    <row r="20" spans="1:9" x14ac:dyDescent="0.3">
      <c r="A20" s="355" t="s">
        <v>2540</v>
      </c>
      <c r="B20" s="355"/>
      <c r="C20" s="355"/>
      <c r="D20" s="355"/>
      <c r="E20" s="355"/>
      <c r="F20" s="355"/>
      <c r="G20" s="355"/>
      <c r="I20" s="37" t="str">
        <f>A19</f>
        <v>Source: U.S. Census Bureau, ACS16-20 (5-Year Estimates), Table B25105</v>
      </c>
    </row>
    <row r="21" spans="1:9" x14ac:dyDescent="0.3">
      <c r="A21" s="153"/>
      <c r="I21" s="96"/>
    </row>
    <row r="22" spans="1:9" x14ac:dyDescent="0.3">
      <c r="A22" s="1" t="s">
        <v>1449</v>
      </c>
      <c r="I22"/>
    </row>
    <row r="23" spans="1:9" x14ac:dyDescent="0.3">
      <c r="A23" s="57"/>
      <c r="B23" s="112">
        <v>2010</v>
      </c>
      <c r="C23" s="112">
        <v>2015</v>
      </c>
      <c r="D23" s="112">
        <v>2020</v>
      </c>
    </row>
    <row r="24" spans="1:9" ht="30" customHeight="1" x14ac:dyDescent="0.3">
      <c r="A24" s="110" t="s">
        <v>1415</v>
      </c>
      <c r="B24" s="113">
        <f>'Ref. ACS-5-YR'!B1201</f>
        <v>0.33299999999999996</v>
      </c>
      <c r="C24" s="113">
        <f>('Ref. ACS-5-YR'!E1201)/100</f>
        <v>0.32500000000000001</v>
      </c>
      <c r="D24" s="113">
        <f>('Ref. ACS-5-YR'!H1201)/100</f>
        <v>0.33100000000000002</v>
      </c>
      <c r="I24" s="61" t="s">
        <v>2496</v>
      </c>
    </row>
    <row r="25" spans="1:9" x14ac:dyDescent="0.3">
      <c r="A25" s="111" t="s">
        <v>1450</v>
      </c>
      <c r="B25" s="113">
        <f>'Ref. ACS-5-YR'!B1241/100</f>
        <v>0.27600000000000002</v>
      </c>
      <c r="C25" s="113">
        <f>'Ref. ACS-5-YR'!E1241/100</f>
        <v>0.22899999999999998</v>
      </c>
      <c r="D25" s="113">
        <f>'Ref. ACS-5-YR'!H1241/100</f>
        <v>0.19</v>
      </c>
    </row>
    <row r="26" spans="1:9" x14ac:dyDescent="0.3">
      <c r="A26" s="111" t="s">
        <v>1451</v>
      </c>
      <c r="B26" s="113">
        <f>'Ref. ACS-5-YR'!B1242/100</f>
        <v>0.31900000000000001</v>
      </c>
      <c r="C26" s="113">
        <f>'Ref. ACS-5-YR'!E1242/100</f>
        <v>0.27100000000000002</v>
      </c>
      <c r="D26" s="113">
        <f>'Ref. ACS-5-YR'!H1242/100</f>
        <v>0.215</v>
      </c>
    </row>
    <row r="27" spans="1:9" x14ac:dyDescent="0.3">
      <c r="A27" s="102" t="s">
        <v>1452</v>
      </c>
      <c r="B27" s="113">
        <f>'Ref. ACS-5-YR'!B1243/100</f>
        <v>0.12300000000000001</v>
      </c>
      <c r="C27" s="113">
        <f>'Ref. ACS-5-YR'!E1243/100</f>
        <v>0.1</v>
      </c>
      <c r="D27" s="113">
        <f>'Ref. ACS-5-YR'!H1243/100</f>
        <v>0.111</v>
      </c>
      <c r="I27" s="37"/>
    </row>
    <row r="28" spans="1:9" x14ac:dyDescent="0.3">
      <c r="A28" t="s">
        <v>2541</v>
      </c>
      <c r="I28" s="37"/>
    </row>
    <row r="29" spans="1:9" x14ac:dyDescent="0.3">
      <c r="A29" s="355" t="s">
        <v>2540</v>
      </c>
      <c r="B29" s="355"/>
      <c r="C29" s="355"/>
      <c r="D29" s="355"/>
      <c r="E29" s="355"/>
      <c r="F29" s="355"/>
      <c r="G29" s="35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2489</v>
      </c>
    </row>
    <row r="45" spans="1:9" x14ac:dyDescent="0.3">
      <c r="A45" s="88" t="s">
        <v>1453</v>
      </c>
      <c r="I45" s="61" t="s">
        <v>2495</v>
      </c>
    </row>
    <row r="46" spans="1:9" ht="28.2" customHeight="1" x14ac:dyDescent="0.3">
      <c r="A46" s="48"/>
      <c r="B46" s="79" t="str">
        <f>B3</f>
        <v>City of Madera</v>
      </c>
      <c r="C46" s="79" t="str">
        <f>B4</f>
        <v>Madera County</v>
      </c>
      <c r="D46" s="79" t="s">
        <v>173</v>
      </c>
      <c r="I46" s="37"/>
    </row>
    <row r="47" spans="1:9" x14ac:dyDescent="0.3">
      <c r="A47" s="13" t="s">
        <v>1454</v>
      </c>
      <c r="B47" s="71">
        <f>'Ref. ACS-5-YR'!H840</f>
        <v>58000</v>
      </c>
      <c r="C47" s="71">
        <f>'Ref. ACS-5-YR'!R840</f>
        <v>71001</v>
      </c>
      <c r="D47" s="71">
        <f>'Ref. ACS-5-YR'!AB840</f>
        <v>90496</v>
      </c>
      <c r="I47" s="37"/>
    </row>
    <row r="48" spans="1:9" ht="32.700000000000003" customHeight="1" x14ac:dyDescent="0.3">
      <c r="A48" s="13" t="s">
        <v>1455</v>
      </c>
      <c r="B48" s="71">
        <f>'Ref. ACS-5-YR'!H816</f>
        <v>45462</v>
      </c>
      <c r="C48" s="71">
        <f>'Ref. ACS-5-YR'!R816</f>
        <v>45431</v>
      </c>
      <c r="D48" s="71">
        <f>'Ref. ACS-5-YR'!AB816</f>
        <v>54976</v>
      </c>
      <c r="H48" s="269"/>
      <c r="I48" s="37"/>
    </row>
    <row r="49" spans="1:9" x14ac:dyDescent="0.3">
      <c r="A49" s="13" t="s">
        <v>1456</v>
      </c>
      <c r="B49" s="71">
        <f>'Ref. ACS-5-YR'!H820</f>
        <v>102609</v>
      </c>
      <c r="C49" s="71">
        <f>'Ref. ACS-5-YR'!R820</f>
        <v>64342</v>
      </c>
      <c r="D49" s="71">
        <f>'Ref. ACS-5-YR'!AB820</f>
        <v>60182</v>
      </c>
      <c r="H49" s="270"/>
      <c r="I49" s="37"/>
    </row>
    <row r="50" spans="1:9" x14ac:dyDescent="0.3">
      <c r="A50" s="13" t="s">
        <v>1457</v>
      </c>
      <c r="B50" s="71" t="str">
        <f>'Ref. ACS-5-YR'!H824</f>
        <v xml:space="preserve"> </v>
      </c>
      <c r="C50" s="71">
        <f>'Ref. ACS-5-YR'!R824</f>
        <v>60104</v>
      </c>
      <c r="D50" s="71">
        <f>'Ref. ACS-5-YR'!AB824</f>
        <v>101380</v>
      </c>
      <c r="I50" s="37"/>
    </row>
    <row r="51" spans="1:9" x14ac:dyDescent="0.3">
      <c r="A51" s="13" t="s">
        <v>1458</v>
      </c>
      <c r="B51" s="71" t="str">
        <f>'Ref. ACS-5-YR'!H828</f>
        <v xml:space="preserve"> </v>
      </c>
      <c r="C51" s="71" t="str">
        <f>'Ref. ACS-5-YR'!R828</f>
        <v xml:space="preserve"> </v>
      </c>
      <c r="D51" s="71">
        <f>'Ref. ACS-5-YR'!AB828</f>
        <v>81682</v>
      </c>
      <c r="I51" s="37"/>
    </row>
    <row r="52" spans="1:9" x14ac:dyDescent="0.3">
      <c r="A52" s="13" t="s">
        <v>1459</v>
      </c>
      <c r="B52" s="71">
        <f>'Ref. ACS-5-YR'!H832</f>
        <v>43169</v>
      </c>
      <c r="C52" s="71">
        <f>'Ref. ACS-5-YR'!R832</f>
        <v>48428</v>
      </c>
      <c r="D52" s="71">
        <f>'Ref. ACS-5-YR'!AB832</f>
        <v>59287</v>
      </c>
    </row>
    <row r="53" spans="1:9" x14ac:dyDescent="0.3">
      <c r="A53" s="13" t="s">
        <v>1460</v>
      </c>
      <c r="B53" s="71">
        <f>'Ref. ACS-5-YR'!H836</f>
        <v>77651</v>
      </c>
      <c r="C53" s="71">
        <f>'Ref. ACS-5-YR'!R836</f>
        <v>77847</v>
      </c>
      <c r="D53" s="71">
        <f>'Ref. ACS-5-YR'!AB836</f>
        <v>76733</v>
      </c>
      <c r="I53" s="37"/>
    </row>
    <row r="54" spans="1:9" x14ac:dyDescent="0.3">
      <c r="A54" s="13" t="s">
        <v>1461</v>
      </c>
      <c r="B54" s="71">
        <f>'Ref. ACS-5-YR'!H844</f>
        <v>49222</v>
      </c>
      <c r="C54" s="71">
        <f>'Ref. ACS-5-YR'!R844</f>
        <v>52667</v>
      </c>
      <c r="D54" s="71">
        <f>'Ref. ACS-5-YR'!AB844</f>
        <v>62330</v>
      </c>
      <c r="I54" s="37"/>
    </row>
    <row r="55" spans="1:9" x14ac:dyDescent="0.3">
      <c r="A55" t="s">
        <v>1447</v>
      </c>
      <c r="B55" s="159"/>
      <c r="C55" s="159"/>
      <c r="D55" s="159"/>
      <c r="I55" s="37"/>
    </row>
    <row r="56" spans="1:9" ht="14.4" customHeight="1" x14ac:dyDescent="0.3">
      <c r="A56" s="144"/>
      <c r="I56" s="37"/>
    </row>
    <row r="57" spans="1:9" x14ac:dyDescent="0.3">
      <c r="I57" s="37"/>
    </row>
    <row r="58" spans="1:9" x14ac:dyDescent="0.3">
      <c r="A58" s="1" t="s">
        <v>1462</v>
      </c>
      <c r="I58" s="37"/>
    </row>
    <row r="59" spans="1:9" ht="28.2" customHeight="1" x14ac:dyDescent="0.3">
      <c r="A59" s="48" t="s">
        <v>172</v>
      </c>
      <c r="B59" s="60" t="str">
        <f>B3</f>
        <v>City of Madera</v>
      </c>
      <c r="C59" s="60" t="s">
        <v>179</v>
      </c>
      <c r="D59" s="60" t="str">
        <f>B4</f>
        <v>Madera County</v>
      </c>
      <c r="E59" s="60" t="s">
        <v>179</v>
      </c>
      <c r="F59" s="60" t="s">
        <v>173</v>
      </c>
      <c r="G59" s="60" t="s">
        <v>179</v>
      </c>
      <c r="I59" s="37"/>
    </row>
    <row r="60" spans="1:9" x14ac:dyDescent="0.3">
      <c r="A60" s="13" t="s">
        <v>1463</v>
      </c>
      <c r="B60" s="16">
        <f>'Ref. ACS-5-YR'!H745</f>
        <v>3047</v>
      </c>
      <c r="C60" s="55">
        <f>'Ref. ACS-5-YR'!I745</f>
        <v>0.21350991521266904</v>
      </c>
      <c r="D60" s="16">
        <f>'Ref. ACS-5-YR'!R745</f>
        <v>4975</v>
      </c>
      <c r="E60" s="55">
        <f>'Ref. ACS-5-YR'!S745</f>
        <v>0.14228107304238402</v>
      </c>
      <c r="F60" s="16">
        <f>'Ref. ACS-5-YR'!AB745</f>
        <v>806599</v>
      </c>
      <c r="G60" s="55">
        <f>'Ref. ACS-5-YR'!AC745</f>
        <v>0.09</v>
      </c>
      <c r="I60" s="37"/>
    </row>
    <row r="61" spans="1:9" x14ac:dyDescent="0.3">
      <c r="A61" t="s">
        <v>1464</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1465</v>
      </c>
      <c r="I65" s="96"/>
    </row>
    <row r="66" spans="1:9" x14ac:dyDescent="0.3">
      <c r="A66" s="57"/>
      <c r="B66" s="79">
        <v>2010</v>
      </c>
      <c r="C66" s="79">
        <v>2015</v>
      </c>
      <c r="D66" s="79">
        <v>2020</v>
      </c>
      <c r="I66" s="61" t="s">
        <v>1466</v>
      </c>
    </row>
    <row r="67" spans="1:9" ht="28.95" customHeight="1" x14ac:dyDescent="0.3">
      <c r="A67" s="13" t="s">
        <v>1467</v>
      </c>
      <c r="B67" s="16">
        <f>'Ref. ACS-5-YR'!B745</f>
        <v>2665</v>
      </c>
      <c r="C67" s="16">
        <f>'Ref. ACS-5-YR'!E745</f>
        <v>3397</v>
      </c>
      <c r="D67" s="16">
        <f>'Ref. ACS-5-YR'!H745</f>
        <v>3047</v>
      </c>
      <c r="H67" s="269"/>
      <c r="I67" s="37"/>
    </row>
    <row r="68" spans="1:9" x14ac:dyDescent="0.3">
      <c r="A68" s="13" t="s">
        <v>1294</v>
      </c>
      <c r="B68" s="16">
        <f>'Ref. ACS-5-YR'!B744</f>
        <v>12490</v>
      </c>
      <c r="C68" s="16">
        <f>'Ref. ACS-5-YR'!E744</f>
        <v>13361</v>
      </c>
      <c r="D68" s="16">
        <f>'Ref. ACS-5-YR'!H744</f>
        <v>14271</v>
      </c>
      <c r="E68" s="116"/>
      <c r="F68" s="116"/>
      <c r="G68" s="116"/>
      <c r="H68" s="270"/>
      <c r="I68" s="37"/>
    </row>
    <row r="69" spans="1:9" x14ac:dyDescent="0.3">
      <c r="A69" s="13" t="s">
        <v>1468</v>
      </c>
      <c r="B69" s="117">
        <f>B67/B68</f>
        <v>0.2133706965572458</v>
      </c>
      <c r="C69" s="117">
        <f t="shared" ref="C69" si="0">C67/C68</f>
        <v>0.25424743656911908</v>
      </c>
      <c r="D69" s="117">
        <f>D67/D68</f>
        <v>0.21350991521266904</v>
      </c>
      <c r="H69" s="270"/>
      <c r="I69" s="37"/>
    </row>
    <row r="70" spans="1:9" x14ac:dyDescent="0.3">
      <c r="A70" s="13" t="s">
        <v>1469</v>
      </c>
      <c r="B70" s="117"/>
      <c r="C70" s="117">
        <f>(C68-B68)/B68</f>
        <v>6.9735788630904724E-2</v>
      </c>
      <c r="D70" s="117">
        <f>(D68-C68)/C68</f>
        <v>6.8108674500411651E-2</v>
      </c>
      <c r="H70" s="270"/>
      <c r="I70" s="37"/>
    </row>
    <row r="71" spans="1:9" x14ac:dyDescent="0.3">
      <c r="A71" t="s">
        <v>1464</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1470</v>
      </c>
      <c r="I77" s="61" t="s">
        <v>2494</v>
      </c>
    </row>
    <row r="78" spans="1:9" ht="24" customHeight="1" x14ac:dyDescent="0.3">
      <c r="A78" s="57" t="s">
        <v>172</v>
      </c>
      <c r="B78" s="60" t="str">
        <f>B3</f>
        <v>City of Madera</v>
      </c>
      <c r="C78" s="60" t="s">
        <v>179</v>
      </c>
      <c r="D78" s="60" t="str">
        <f>B4</f>
        <v>Madera County</v>
      </c>
      <c r="E78" s="60" t="s">
        <v>179</v>
      </c>
      <c r="F78" s="60" t="s">
        <v>173</v>
      </c>
      <c r="G78" s="60" t="s">
        <v>179</v>
      </c>
    </row>
    <row r="79" spans="1:9" x14ac:dyDescent="0.3">
      <c r="A79" s="13" t="s">
        <v>180</v>
      </c>
      <c r="B79" s="16">
        <f>'Ref. ACS-5-YR'!H305</f>
        <v>3047</v>
      </c>
      <c r="C79" s="55"/>
      <c r="D79" s="16">
        <f>'Ref. ACS-5-YR'!R305</f>
        <v>4975</v>
      </c>
      <c r="E79" s="55"/>
      <c r="F79" s="16">
        <f>'Ref. ACS-5-YR'!AB305</f>
        <v>806599</v>
      </c>
      <c r="G79" s="55"/>
    </row>
    <row r="80" spans="1:9" x14ac:dyDescent="0.3">
      <c r="A80" s="13" t="s">
        <v>1454</v>
      </c>
      <c r="B80" s="16">
        <f>'Ref. ACS-5-YR'!H657</f>
        <v>177</v>
      </c>
      <c r="C80" s="55">
        <f>'Ref. ACS-5-YR'!I657</f>
        <v>6.7583046964490259E-2</v>
      </c>
      <c r="D80" s="16">
        <f>'Ref. ACS-5-YR'!R657</f>
        <v>832</v>
      </c>
      <c r="E80" s="55">
        <f>'Ref. ACS-5-YR'!S657</f>
        <v>5.6830601092896178E-2</v>
      </c>
      <c r="F80" s="16">
        <f>'Ref. ACS-5-YR'!AB657</f>
        <v>184715</v>
      </c>
      <c r="G80" s="55">
        <f>'Ref. ACS-5-YR'!AC657</f>
        <v>4.9000000000000002E-2</v>
      </c>
      <c r="I80" s="37"/>
    </row>
    <row r="81" spans="1:9" x14ac:dyDescent="0.3">
      <c r="A81" s="13" t="s">
        <v>1471</v>
      </c>
      <c r="B81" s="16">
        <f>'Ref. ACS-5-YR'!H393</f>
        <v>199</v>
      </c>
      <c r="C81" s="55">
        <f>'Ref. ACS-5-YR'!I393</f>
        <v>0.22013274336283187</v>
      </c>
      <c r="D81" s="16">
        <f>'Ref. ACS-5-YR'!R393</f>
        <v>199</v>
      </c>
      <c r="E81" s="55">
        <f>'Ref. ACS-5-YR'!S393</f>
        <v>0.19625246548323472</v>
      </c>
      <c r="F81" s="16">
        <f>'Ref. ACS-5-YR'!AB393</f>
        <v>71144</v>
      </c>
      <c r="G81" s="55">
        <f>'Ref. ACS-5-YR'!AC393</f>
        <v>0.15</v>
      </c>
      <c r="H81" s="269"/>
      <c r="I81" s="37"/>
    </row>
    <row r="82" spans="1:9" x14ac:dyDescent="0.3">
      <c r="A82" s="13" t="s">
        <v>1472</v>
      </c>
      <c r="B82" s="16">
        <f>'Ref. ACS-5-YR'!H437</f>
        <v>12</v>
      </c>
      <c r="C82" s="55">
        <f>'Ref. ACS-5-YR'!I437</f>
        <v>0.11009174311926606</v>
      </c>
      <c r="D82" s="16">
        <f>'Ref. ACS-5-YR'!R437</f>
        <v>102</v>
      </c>
      <c r="E82" s="55">
        <f>'Ref. ACS-5-YR'!S437</f>
        <v>0.18345323741007194</v>
      </c>
      <c r="F82" s="16">
        <f>'Ref. ACS-5-YR'!AB437</f>
        <v>9939</v>
      </c>
      <c r="G82" s="55">
        <f>'Ref. ACS-5-YR'!AC437</f>
        <v>0.14299999999999999</v>
      </c>
      <c r="H82" s="270"/>
    </row>
    <row r="83" spans="1:9" x14ac:dyDescent="0.3">
      <c r="A83" s="13" t="s">
        <v>1473</v>
      </c>
      <c r="B83" s="16">
        <f>'Ref. ACS-5-YR'!H481</f>
        <v>120</v>
      </c>
      <c r="C83" s="55">
        <f>'Ref. ACS-5-YR'!I481</f>
        <v>0.46332046332046334</v>
      </c>
      <c r="D83" s="16">
        <f>'Ref. ACS-5-YR'!R481</f>
        <v>179</v>
      </c>
      <c r="E83" s="55">
        <f>'Ref. ACS-5-YR'!S481</f>
        <v>0.26479289940828404</v>
      </c>
      <c r="F83" s="16">
        <f>'Ref. ACS-5-YR'!AB481</f>
        <v>96657</v>
      </c>
      <c r="G83" s="55">
        <f>'Ref. ACS-5-YR'!AC481</f>
        <v>7.0000000000000007E-2</v>
      </c>
      <c r="H83" s="270"/>
      <c r="I83" s="37"/>
    </row>
    <row r="84" spans="1:9" x14ac:dyDescent="0.3">
      <c r="A84" s="13" t="s">
        <v>1474</v>
      </c>
      <c r="B84" s="16">
        <f>'Ref. ACS-5-YR'!H525</f>
        <v>0</v>
      </c>
      <c r="C84" s="55">
        <f>'Ref. ACS-5-YR'!I525</f>
        <v>0</v>
      </c>
      <c r="D84" s="16">
        <f>'Ref. ACS-5-YR'!R525</f>
        <v>0</v>
      </c>
      <c r="E84" s="55">
        <f>'Ref. ACS-5-YR'!S525</f>
        <v>0</v>
      </c>
      <c r="F84" s="16">
        <f>'Ref. ACS-5-YR'!AB525</f>
        <v>2702</v>
      </c>
      <c r="G84" s="55">
        <f>'Ref. ACS-5-YR'!AC525</f>
        <v>8.6999999999999994E-2</v>
      </c>
      <c r="H84" s="270"/>
      <c r="I84" s="37"/>
    </row>
    <row r="85" spans="1:9" x14ac:dyDescent="0.3">
      <c r="A85" s="13" t="s">
        <v>1475</v>
      </c>
      <c r="B85" s="16">
        <f>'Ref. ACS-5-YR'!H569</f>
        <v>1456</v>
      </c>
      <c r="C85" s="55">
        <f>'Ref. ACS-5-YR'!I569</f>
        <v>0.31091180866965618</v>
      </c>
      <c r="D85" s="16">
        <f>'Ref. ACS-5-YR'!R569</f>
        <v>1987</v>
      </c>
      <c r="E85" s="55">
        <f>'Ref. ACS-5-YR'!S569</f>
        <v>0.25882506187312754</v>
      </c>
      <c r="F85" s="16">
        <f>'Ref. ACS-5-YR'!AB569</f>
        <v>172587</v>
      </c>
      <c r="G85" s="55">
        <f>'Ref. ACS-5-YR'!AC569</f>
        <v>0.151</v>
      </c>
      <c r="I85" s="37"/>
    </row>
    <row r="86" spans="1:9" x14ac:dyDescent="0.3">
      <c r="A86" s="13" t="s">
        <v>1476</v>
      </c>
      <c r="B86" s="16">
        <f>'Ref. ACS-5-YR'!H613</f>
        <v>5</v>
      </c>
      <c r="C86" s="55">
        <f>'Ref. ACS-5-YR'!I613</f>
        <v>5.8892815076560662E-3</v>
      </c>
      <c r="D86" s="16">
        <f>'Ref. ACS-5-YR'!R613</f>
        <v>64</v>
      </c>
      <c r="E86" s="55">
        <f>'Ref. ACS-5-YR'!S613</f>
        <v>3.6823935558112773E-2</v>
      </c>
      <c r="F86" s="16">
        <f>'Ref. ACS-5-YR'!AB613</f>
        <v>49254</v>
      </c>
      <c r="G86" s="55">
        <f>'Ref. ACS-5-YR'!AC613</f>
        <v>9.5000000000000001E-2</v>
      </c>
      <c r="I86" s="37"/>
    </row>
    <row r="87" spans="1:9" x14ac:dyDescent="0.3">
      <c r="A87" s="13" t="s">
        <v>1461</v>
      </c>
      <c r="B87" s="16">
        <f>'Ref. ACS-5-YR'!H701</f>
        <v>2558</v>
      </c>
      <c r="C87" s="55">
        <f>'Ref. ACS-5-YR'!I701</f>
        <v>0.24719752609199847</v>
      </c>
      <c r="D87" s="16">
        <f>'Ref. ACS-5-YR'!R701</f>
        <v>3693</v>
      </c>
      <c r="E87" s="55">
        <f>'Ref. ACS-5-YR'!S701</f>
        <v>0.20720417438141728</v>
      </c>
      <c r="F87" s="16">
        <f>'Ref. ACS-5-YR'!AB701</f>
        <v>432193</v>
      </c>
      <c r="G87" s="55">
        <f>'Ref. ACS-5-YR'!AC701</f>
        <v>0.14000000000000001</v>
      </c>
      <c r="I87" s="37"/>
    </row>
    <row r="88" spans="1:9" x14ac:dyDescent="0.3">
      <c r="A88" t="s">
        <v>1477</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70"/>
      <c r="I97"/>
    </row>
    <row r="98" spans="1:9" x14ac:dyDescent="0.3">
      <c r="A98" s="223" t="s">
        <v>1478</v>
      </c>
      <c r="H98" s="270"/>
      <c r="I98" s="61" t="str">
        <f>_xlfn.CONCAT(B3," Worker Population for Workplace Geography Over Time (2010 to 2020)")</f>
        <v>City of Madera Worker Population for Workplace Geography Over Time (2010 to 2020)</v>
      </c>
    </row>
    <row r="99" spans="1:9" x14ac:dyDescent="0.3">
      <c r="A99" s="57" t="s">
        <v>172</v>
      </c>
      <c r="B99" s="60">
        <v>2010</v>
      </c>
      <c r="C99" s="60">
        <v>2015</v>
      </c>
      <c r="D99" s="60">
        <v>2020</v>
      </c>
      <c r="H99" s="270"/>
      <c r="I99"/>
    </row>
    <row r="100" spans="1:9" x14ac:dyDescent="0.3">
      <c r="A100" s="13" t="str">
        <f>B3</f>
        <v>City of Madera</v>
      </c>
      <c r="B100" s="16">
        <f>'Ref. ACS-5-YR Add.'!B28</f>
        <v>16172</v>
      </c>
      <c r="C100" s="16">
        <f>'Ref. ACS-5-YR Add.'!E28</f>
        <v>16610</v>
      </c>
      <c r="D100" s="16">
        <f>'Ref. ACS-5-YR Add.'!H28</f>
        <v>20387</v>
      </c>
      <c r="H100" s="270"/>
      <c r="I100"/>
    </row>
    <row r="101" spans="1:9" x14ac:dyDescent="0.3">
      <c r="A101" s="13" t="str">
        <f>_xlfn.CONCAT(A100," Percent Change")</f>
        <v>City of Madera Percent Change</v>
      </c>
      <c r="B101" s="16"/>
      <c r="C101" s="5">
        <f>(C100-B100)/B100</f>
        <v>2.7083848627256987E-2</v>
      </c>
      <c r="D101" s="5">
        <f>(D100-C100)/C100</f>
        <v>0.22739313666465985</v>
      </c>
      <c r="H101" s="270"/>
      <c r="I101"/>
    </row>
    <row r="102" spans="1:9" x14ac:dyDescent="0.3">
      <c r="A102" s="13" t="str">
        <f>B4</f>
        <v>Madera County</v>
      </c>
      <c r="B102" s="16">
        <f>'Ref. ACS-5-YR Add.'!L28</f>
        <v>43362</v>
      </c>
      <c r="C102" s="16">
        <f>'Ref. ACS-5-YR Add.'!O28</f>
        <v>44353</v>
      </c>
      <c r="D102" s="16">
        <f>'Ref. ACS-5-YR Add.'!R28</f>
        <v>49786</v>
      </c>
      <c r="H102" s="270"/>
      <c r="I102"/>
    </row>
    <row r="103" spans="1:9" x14ac:dyDescent="0.3">
      <c r="A103" s="13" t="str">
        <f>_xlfn.CONCAT(A102," Percent Change")</f>
        <v>Madera County Percent Change</v>
      </c>
      <c r="B103" s="16"/>
      <c r="C103" s="5">
        <f>(C102-B102)/B102</f>
        <v>2.2854111895207786E-2</v>
      </c>
      <c r="D103" s="5">
        <f>(D102-C102)/C102</f>
        <v>0.12249453250062002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1479</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Madera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1480</v>
      </c>
      <c r="H128" s="270"/>
      <c r="I128" s="61" t="s">
        <v>1481</v>
      </c>
    </row>
    <row r="129" spans="1:9" ht="28.8" x14ac:dyDescent="0.3">
      <c r="A129" s="57" t="s">
        <v>172</v>
      </c>
      <c r="B129" s="60" t="str">
        <f>B3</f>
        <v>City of Madera</v>
      </c>
      <c r="C129" s="60" t="str">
        <f>B4</f>
        <v>Madera County</v>
      </c>
      <c r="D129" s="60" t="s">
        <v>1445</v>
      </c>
      <c r="E129" s="60" t="s">
        <v>173</v>
      </c>
      <c r="F129" s="60" t="s">
        <v>1446</v>
      </c>
      <c r="H129" s="270"/>
      <c r="I129" s="37"/>
    </row>
    <row r="130" spans="1:9" x14ac:dyDescent="0.3">
      <c r="A130" s="69" t="s">
        <v>1480</v>
      </c>
      <c r="B130" s="63">
        <f>'Ref. ACS-5-YR'!H920</f>
        <v>0.42020000000000002</v>
      </c>
      <c r="C130" s="63">
        <f>'Ref. ACS-5-YR'!R920</f>
        <v>0.42720000000000002</v>
      </c>
      <c r="D130" s="55">
        <f>B130/C130</f>
        <v>0.98361423220973776</v>
      </c>
      <c r="E130" s="63">
        <f>'Ref. ACS-5-YR'!AB920</f>
        <v>0.49</v>
      </c>
      <c r="F130" s="55">
        <f>B130/E130</f>
        <v>0.85755102040816333</v>
      </c>
      <c r="H130" s="270"/>
      <c r="I130" s="37"/>
    </row>
    <row r="131" spans="1:9" x14ac:dyDescent="0.3">
      <c r="A131" s="362" t="s">
        <v>1482</v>
      </c>
      <c r="B131" s="362"/>
      <c r="H131" s="270"/>
      <c r="I131" s="37"/>
    </row>
    <row r="132" spans="1:9" x14ac:dyDescent="0.3">
      <c r="H132" s="270"/>
      <c r="I132" s="37"/>
    </row>
    <row r="133" spans="1:9" x14ac:dyDescent="0.3">
      <c r="A133" s="1" t="s">
        <v>1483</v>
      </c>
      <c r="H133" s="270"/>
      <c r="I133" s="37"/>
    </row>
    <row r="134" spans="1:9" x14ac:dyDescent="0.3">
      <c r="A134" s="48"/>
      <c r="B134" s="79">
        <v>2010</v>
      </c>
      <c r="C134" s="79">
        <v>2015</v>
      </c>
      <c r="D134" s="79">
        <v>2020</v>
      </c>
      <c r="H134" s="270"/>
      <c r="I134" s="37"/>
    </row>
    <row r="135" spans="1:9" x14ac:dyDescent="0.3">
      <c r="A135" s="69" t="s">
        <v>1480</v>
      </c>
      <c r="B135" s="11">
        <f>'Ref. ACS-5-YR'!B920</f>
        <v>0.42</v>
      </c>
      <c r="C135" s="11">
        <f>'Ref. ACS-5-YR'!E920</f>
        <v>0.41920000000000002</v>
      </c>
      <c r="D135" s="73">
        <f>'Ref. ACS-5-YR'!H920</f>
        <v>0.42020000000000002</v>
      </c>
      <c r="H135" s="270"/>
      <c r="I135" s="37"/>
    </row>
    <row r="136" spans="1:9" x14ac:dyDescent="0.3">
      <c r="A136" s="69" t="s">
        <v>177</v>
      </c>
      <c r="B136" s="11"/>
      <c r="C136" s="5">
        <f>(C135-B135)/B135</f>
        <v>-1.9047619047618271E-3</v>
      </c>
      <c r="D136" s="5">
        <f>(D135-C135)/C135</f>
        <v>2.3854961832061091E-3</v>
      </c>
      <c r="H136" s="270"/>
      <c r="I136" s="37"/>
    </row>
    <row r="137" spans="1:9" x14ac:dyDescent="0.3">
      <c r="A137" t="s">
        <v>1484</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1485</v>
      </c>
      <c r="C142" t="s">
        <v>179</v>
      </c>
      <c r="E142" t="s">
        <v>179</v>
      </c>
      <c r="G142" t="s">
        <v>179</v>
      </c>
      <c r="I142" s="61" t="s">
        <v>1486</v>
      </c>
    </row>
    <row r="143" spans="1:9" ht="28.95" customHeight="1" x14ac:dyDescent="0.3">
      <c r="A143" s="48" t="s">
        <v>172</v>
      </c>
      <c r="B143" s="51" t="str">
        <f>B3</f>
        <v>City of Madera</v>
      </c>
      <c r="C143" s="51" t="str">
        <f>B3</f>
        <v>City of Madera</v>
      </c>
      <c r="D143" s="51" t="str">
        <f>B4</f>
        <v>Madera County</v>
      </c>
      <c r="E143" s="51" t="str">
        <f>B4</f>
        <v>Madera County</v>
      </c>
      <c r="F143" s="51" t="s">
        <v>173</v>
      </c>
      <c r="G143" s="51" t="s">
        <v>173</v>
      </c>
      <c r="I143" s="37"/>
    </row>
    <row r="144" spans="1:9" x14ac:dyDescent="0.3">
      <c r="A144" s="13" t="s">
        <v>180</v>
      </c>
      <c r="B144" s="16">
        <f>'Ref. ACS-5-YR'!H106</f>
        <v>24293</v>
      </c>
      <c r="C144" s="55"/>
      <c r="D144" s="16">
        <f>'Ref. ACS-5-YR'!R106</f>
        <v>56457</v>
      </c>
      <c r="E144" s="55"/>
      <c r="F144" s="16">
        <f>'Ref. ACS-5-YR'!AB106</f>
        <v>18239892</v>
      </c>
      <c r="G144" s="55"/>
      <c r="I144" s="37"/>
    </row>
    <row r="145" spans="1:9" x14ac:dyDescent="0.3">
      <c r="A145" s="13" t="s">
        <v>1487</v>
      </c>
      <c r="B145" s="16">
        <f>'Ref. ACS-5-YR'!H107</f>
        <v>21568</v>
      </c>
      <c r="C145" s="55">
        <f>'Ref. ACS-5-YR'!I107</f>
        <v>0.88782776931626395</v>
      </c>
      <c r="D145" s="16">
        <f>'Ref. ACS-5-YR'!R107</f>
        <v>50054</v>
      </c>
      <c r="E145" s="55">
        <f>'Ref. ACS-5-YR'!S107</f>
        <v>0.88658625148342984</v>
      </c>
      <c r="F145" s="16">
        <f>'Ref. ACS-5-YR'!AB107</f>
        <v>14963132</v>
      </c>
      <c r="G145" s="55">
        <f>'Ref. ACS-5-YR'!AC107</f>
        <v>0.82</v>
      </c>
      <c r="H145" s="266"/>
      <c r="I145" s="37"/>
    </row>
    <row r="146" spans="1:9" x14ac:dyDescent="0.3">
      <c r="A146" s="7" t="s">
        <v>1488</v>
      </c>
      <c r="B146" s="16">
        <f>'Ref. ACS-5-YR'!H108</f>
        <v>17438</v>
      </c>
      <c r="C146" s="55">
        <f>'Ref. ACS-5-YR'!I108</f>
        <v>0.71781994813320704</v>
      </c>
      <c r="D146" s="16">
        <f>'Ref. ACS-5-YR'!R108</f>
        <v>42154</v>
      </c>
      <c r="E146" s="55">
        <f>'Ref. ACS-5-YR'!S108</f>
        <v>0.74665674761322776</v>
      </c>
      <c r="F146" s="16">
        <f>'Ref. ACS-5-YR'!AB108</f>
        <v>13146038</v>
      </c>
      <c r="G146" s="55">
        <f>'Ref. ACS-5-YR'!AC108</f>
        <v>0.72099999999999997</v>
      </c>
      <c r="H146" s="270"/>
      <c r="I146" s="37"/>
    </row>
    <row r="147" spans="1:9" x14ac:dyDescent="0.3">
      <c r="A147" s="7" t="s">
        <v>1489</v>
      </c>
      <c r="B147" s="16">
        <f>'Ref. ACS-5-YR'!H109</f>
        <v>4130</v>
      </c>
      <c r="C147" s="55">
        <f>'Ref. ACS-5-YR'!I109</f>
        <v>0.17000782118305685</v>
      </c>
      <c r="D147" s="16">
        <f>'Ref. ACS-5-YR'!R109</f>
        <v>7900</v>
      </c>
      <c r="E147" s="55">
        <f>'Ref. ACS-5-YR'!S109</f>
        <v>0.13992950387020209</v>
      </c>
      <c r="F147" s="16">
        <f>'Ref. ACS-5-YR'!AB109</f>
        <v>1817094</v>
      </c>
      <c r="G147" s="55">
        <f>'Ref. ACS-5-YR'!AC109</f>
        <v>0.1</v>
      </c>
      <c r="H147" s="270"/>
      <c r="I147" s="37"/>
    </row>
    <row r="148" spans="1:9" x14ac:dyDescent="0.3">
      <c r="A148" s="13" t="s">
        <v>1490</v>
      </c>
      <c r="B148" s="16">
        <f>'Ref. ACS-5-YR'!H110</f>
        <v>2153</v>
      </c>
      <c r="C148" s="55">
        <f>'Ref. ACS-5-YR'!I110</f>
        <v>8.8626353270489441E-2</v>
      </c>
      <c r="D148" s="16">
        <f>'Ref. ACS-5-YR'!R110</f>
        <v>5122</v>
      </c>
      <c r="E148" s="55">
        <f>'Ref. ACS-5-YR'!S110</f>
        <v>9.0723913775085457E-2</v>
      </c>
      <c r="F148" s="16">
        <f>'Ref. ACS-5-YR'!AB110</f>
        <v>1325863</v>
      </c>
      <c r="G148" s="55">
        <f>'Ref. ACS-5-YR'!AC110</f>
        <v>7.2999999999999995E-2</v>
      </c>
      <c r="H148" s="270"/>
      <c r="I148" s="37"/>
    </row>
    <row r="149" spans="1:9" x14ac:dyDescent="0.3">
      <c r="A149" s="13" t="s">
        <v>1491</v>
      </c>
      <c r="B149" s="16">
        <f>'Ref. ACS-5-YR'!H111</f>
        <v>778</v>
      </c>
      <c r="C149" s="55">
        <f>'Ref. ACS-5-YR'!I111</f>
        <v>3.2025686411723542E-2</v>
      </c>
      <c r="D149" s="16">
        <f>'Ref. ACS-5-YR'!R111</f>
        <v>1290</v>
      </c>
      <c r="E149" s="55">
        <f>'Ref. ACS-5-YR'!S111</f>
        <v>2.284924810032414E-2</v>
      </c>
      <c r="F149" s="16">
        <f>'Ref. ACS-5-YR'!AB111</f>
        <v>284797</v>
      </c>
      <c r="G149" s="55">
        <f>'Ref. ACS-5-YR'!AC111</f>
        <v>1.6E-2</v>
      </c>
      <c r="H149" s="270"/>
      <c r="I149" s="37"/>
    </row>
    <row r="150" spans="1:9" x14ac:dyDescent="0.3">
      <c r="A150" s="13" t="s">
        <v>1492</v>
      </c>
      <c r="B150" s="16">
        <f>'Ref. ACS-5-YR'!H112</f>
        <v>560</v>
      </c>
      <c r="C150" s="55">
        <f>'Ref. ACS-5-YR'!I112</f>
        <v>2.3051907957024657E-2</v>
      </c>
      <c r="D150" s="16">
        <f>'Ref. ACS-5-YR'!R112</f>
        <v>726</v>
      </c>
      <c r="E150" s="55">
        <f>'Ref. ACS-5-YR'!S112</f>
        <v>1.2859344279717307E-2</v>
      </c>
      <c r="F150" s="16">
        <f>'Ref. ACS-5-YR'!AB112</f>
        <v>111224</v>
      </c>
      <c r="G150" s="55">
        <f>'Ref. ACS-5-YR'!AC112</f>
        <v>6.0000000000000001E-3</v>
      </c>
      <c r="H150" s="270"/>
      <c r="I150" s="37"/>
    </row>
    <row r="151" spans="1:9" x14ac:dyDescent="0.3">
      <c r="A151" s="13" t="s">
        <v>1493</v>
      </c>
      <c r="B151" s="16">
        <f>'Ref. ACS-5-YR'!H113</f>
        <v>456</v>
      </c>
      <c r="C151" s="55">
        <f>'Ref. ACS-5-YR'!I113</f>
        <v>1.8770839336434364E-2</v>
      </c>
      <c r="D151" s="16">
        <f>'Ref. ACS-5-YR'!R113</f>
        <v>570</v>
      </c>
      <c r="E151" s="55">
        <f>'Ref. ACS-5-YR'!S113</f>
        <v>1.0096179393166481E-2</v>
      </c>
      <c r="F151" s="16">
        <f>'Ref. ACS-5-YR'!AB113</f>
        <v>60986</v>
      </c>
      <c r="G151" s="55">
        <f>'Ref. ACS-5-YR'!AC113</f>
        <v>3.0000000000000001E-3</v>
      </c>
      <c r="H151" s="270"/>
      <c r="I151" s="37"/>
    </row>
    <row r="152" spans="1:9" x14ac:dyDescent="0.3">
      <c r="A152" s="13" t="s">
        <v>1494</v>
      </c>
      <c r="B152" s="16">
        <f>'Ref. ACS-5-YR'!H114</f>
        <v>183</v>
      </c>
      <c r="C152" s="55">
        <f>'Ref. ACS-5-YR'!I114</f>
        <v>7.5330342073848438E-3</v>
      </c>
      <c r="D152" s="16">
        <f>'Ref. ACS-5-YR'!R114</f>
        <v>192</v>
      </c>
      <c r="E152" s="55">
        <f>'Ref. ACS-5-YR'!S114</f>
        <v>3.4008183219087092E-3</v>
      </c>
      <c r="F152" s="16">
        <f>'Ref. ACS-5-YR'!AB114</f>
        <v>34224</v>
      </c>
      <c r="G152" s="55">
        <f>'Ref. ACS-5-YR'!AC114</f>
        <v>2E-3</v>
      </c>
      <c r="H152" s="270"/>
      <c r="I152" s="37"/>
    </row>
    <row r="153" spans="1:9" x14ac:dyDescent="0.3">
      <c r="A153" s="7" t="s">
        <v>1495</v>
      </c>
      <c r="B153" s="16">
        <f>'Ref. ACS-5-YR'!H115</f>
        <v>167</v>
      </c>
      <c r="C153" s="55">
        <f>'Ref. ACS-5-YR'!I115</f>
        <v>6.8744082657555671E-3</v>
      </c>
      <c r="D153" s="16">
        <f>'Ref. ACS-5-YR'!R115</f>
        <v>224</v>
      </c>
      <c r="E153" s="55">
        <f>'Ref. ACS-5-YR'!S115</f>
        <v>3.9676213755601613E-3</v>
      </c>
      <c r="F153" s="16">
        <f>'Ref. ACS-5-YR'!AB115</f>
        <v>843498</v>
      </c>
      <c r="G153" s="55">
        <f>'Ref. ACS-5-YR'!AC115</f>
        <v>4.5999999999999999E-2</v>
      </c>
      <c r="H153" s="270"/>
      <c r="I153" s="37"/>
    </row>
    <row r="154" spans="1:9" x14ac:dyDescent="0.3">
      <c r="A154" s="13" t="s">
        <v>1496</v>
      </c>
      <c r="B154" s="16">
        <f>'Ref. ACS-5-YR'!H116</f>
        <v>156</v>
      </c>
      <c r="C154" s="55">
        <f>'Ref. ACS-5-YR'!I116</f>
        <v>6.4216029308854401E-3</v>
      </c>
      <c r="D154" s="16">
        <f>'Ref. ACS-5-YR'!R116</f>
        <v>170</v>
      </c>
      <c r="E154" s="55">
        <f>'Ref. ACS-5-YR'!S116</f>
        <v>3.0111412225233363E-3</v>
      </c>
      <c r="F154" s="16">
        <f>'Ref. ACS-5-YR'!AB116</f>
        <v>525023</v>
      </c>
      <c r="G154" s="55">
        <f>'Ref. ACS-5-YR'!AC116</f>
        <v>2.9000000000000001E-2</v>
      </c>
      <c r="H154" s="270"/>
      <c r="I154" s="37"/>
    </row>
    <row r="155" spans="1:9" x14ac:dyDescent="0.3">
      <c r="A155" s="13" t="s">
        <v>1497</v>
      </c>
      <c r="B155" s="16">
        <f>'Ref. ACS-5-YR'!H117</f>
        <v>11</v>
      </c>
      <c r="C155" s="55">
        <f>'Ref. ACS-5-YR'!I117</f>
        <v>4.528053348701272E-4</v>
      </c>
      <c r="D155" s="16">
        <f>'Ref. ACS-5-YR'!R117</f>
        <v>11</v>
      </c>
      <c r="E155" s="55">
        <f>'Ref. ACS-5-YR'!S117</f>
        <v>1.9483854969268646E-4</v>
      </c>
      <c r="F155" s="16">
        <f>'Ref. ACS-5-YR'!AB117</f>
        <v>198976</v>
      </c>
      <c r="G155" s="55">
        <f>'Ref. ACS-5-YR'!AC117</f>
        <v>1.0999999999999999E-2</v>
      </c>
      <c r="H155" s="270"/>
      <c r="I155" s="37"/>
    </row>
    <row r="156" spans="1:9" x14ac:dyDescent="0.3">
      <c r="A156" s="13" t="s">
        <v>1498</v>
      </c>
      <c r="B156" s="16">
        <f>'Ref. ACS-5-YR'!H118</f>
        <v>0</v>
      </c>
      <c r="C156" s="55">
        <f>'Ref. ACS-5-YR'!I118</f>
        <v>0</v>
      </c>
      <c r="D156" s="16">
        <f>'Ref. ACS-5-YR'!R118</f>
        <v>0</v>
      </c>
      <c r="E156" s="55">
        <f>'Ref. ACS-5-YR'!S118</f>
        <v>0</v>
      </c>
      <c r="F156" s="16">
        <f>'Ref. ACS-5-YR'!AB118</f>
        <v>77897</v>
      </c>
      <c r="G156" s="55">
        <f>'Ref. ACS-5-YR'!AC118</f>
        <v>4.0000000000000001E-3</v>
      </c>
      <c r="H156" s="270"/>
      <c r="I156" s="37"/>
    </row>
    <row r="157" spans="1:9" x14ac:dyDescent="0.3">
      <c r="A157" s="13" t="s">
        <v>1499</v>
      </c>
      <c r="B157" s="16">
        <f>'Ref. ACS-5-YR'!H119</f>
        <v>0</v>
      </c>
      <c r="C157" s="55">
        <f>'Ref. ACS-5-YR'!I119</f>
        <v>0</v>
      </c>
      <c r="D157" s="16">
        <f>'Ref. ACS-5-YR'!R119</f>
        <v>8</v>
      </c>
      <c r="E157" s="55">
        <f>'Ref. ACS-5-YR'!S119</f>
        <v>1.4170076341286288E-4</v>
      </c>
      <c r="F157" s="16">
        <f>'Ref. ACS-5-YR'!AB119</f>
        <v>29447</v>
      </c>
      <c r="G157" s="55">
        <f>'Ref. ACS-5-YR'!AC119</f>
        <v>2E-3</v>
      </c>
      <c r="H157" s="270"/>
      <c r="I157" s="37"/>
    </row>
    <row r="158" spans="1:9" x14ac:dyDescent="0.3">
      <c r="A158" s="13" t="s">
        <v>1500</v>
      </c>
      <c r="B158" s="16">
        <f>'Ref. ACS-5-YR'!H120</f>
        <v>0</v>
      </c>
      <c r="C158" s="55">
        <f>'Ref. ACS-5-YR'!I120</f>
        <v>0</v>
      </c>
      <c r="D158" s="16">
        <f>'Ref. ACS-5-YR'!R120</f>
        <v>35</v>
      </c>
      <c r="E158" s="55">
        <f>'Ref. ACS-5-YR'!S120</f>
        <v>6.1994083993127517E-4</v>
      </c>
      <c r="F158" s="16">
        <f>'Ref. ACS-5-YR'!AB120</f>
        <v>12155</v>
      </c>
      <c r="G158" s="55">
        <f>'Ref. ACS-5-YR'!AC120</f>
        <v>1E-3</v>
      </c>
      <c r="H158" s="270"/>
      <c r="I158" s="37"/>
    </row>
    <row r="159" spans="1:9" x14ac:dyDescent="0.3">
      <c r="A159" s="13" t="s">
        <v>1501</v>
      </c>
      <c r="B159" s="16">
        <f>'Ref. ACS-5-YR'!H121</f>
        <v>0</v>
      </c>
      <c r="C159" s="55">
        <f>'Ref. ACS-5-YR'!I121</f>
        <v>0</v>
      </c>
      <c r="D159" s="16">
        <f>'Ref. ACS-5-YR'!R121</f>
        <v>0</v>
      </c>
      <c r="E159" s="55">
        <f>'Ref. ACS-5-YR'!S121</f>
        <v>0</v>
      </c>
      <c r="F159" s="16">
        <f>'Ref. ACS-5-YR'!AB121</f>
        <v>36638</v>
      </c>
      <c r="G159" s="55">
        <f>'Ref. ACS-5-YR'!AC121</f>
        <v>2E-3</v>
      </c>
      <c r="I159" s="37"/>
    </row>
    <row r="160" spans="1:9" x14ac:dyDescent="0.3">
      <c r="A160" s="13" t="s">
        <v>1502</v>
      </c>
      <c r="B160" s="16">
        <f>'Ref. ACS-5-YR'!H122</f>
        <v>0</v>
      </c>
      <c r="C160" s="55">
        <f>'Ref. ACS-5-YR'!I122</f>
        <v>0</v>
      </c>
      <c r="D160" s="16">
        <f>'Ref. ACS-5-YR'!R122</f>
        <v>218</v>
      </c>
      <c r="E160" s="55">
        <f>'Ref. ACS-5-YR'!S122</f>
        <v>3.8613458030005137E-3</v>
      </c>
      <c r="F160" s="16">
        <f>'Ref. ACS-5-YR'!AB122</f>
        <v>52947</v>
      </c>
      <c r="G160" s="55">
        <f>'Ref. ACS-5-YR'!AC122</f>
        <v>3.0000000000000001E-3</v>
      </c>
      <c r="I160" s="37"/>
    </row>
    <row r="161" spans="1:9" x14ac:dyDescent="0.3">
      <c r="A161" s="13" t="s">
        <v>1503</v>
      </c>
      <c r="B161" s="16">
        <f>'Ref. ACS-5-YR'!H123</f>
        <v>94</v>
      </c>
      <c r="C161" s="55">
        <f>'Ref. ACS-5-YR'!I123</f>
        <v>3.8694274070719958E-3</v>
      </c>
      <c r="D161" s="16">
        <f>'Ref. ACS-5-YR'!R123</f>
        <v>115</v>
      </c>
      <c r="E161" s="55">
        <f>'Ref. ACS-5-YR'!S123</f>
        <v>2.036948474059904E-3</v>
      </c>
      <c r="F161" s="16">
        <f>'Ref. ACS-5-YR'!AB123</f>
        <v>153669</v>
      </c>
      <c r="G161" s="55">
        <f>'Ref. ACS-5-YR'!AC123</f>
        <v>8.0000000000000002E-3</v>
      </c>
      <c r="I161" s="37"/>
    </row>
    <row r="162" spans="1:9" x14ac:dyDescent="0.3">
      <c r="A162" s="13" t="s">
        <v>1504</v>
      </c>
      <c r="B162" s="16">
        <f>'Ref. ACS-5-YR'!H124</f>
        <v>259</v>
      </c>
      <c r="C162" s="55">
        <f>'Ref. ACS-5-YR'!I124</f>
        <v>1.0661507430123904E-2</v>
      </c>
      <c r="D162" s="16">
        <f>'Ref. ACS-5-YR'!R124</f>
        <v>1081</v>
      </c>
      <c r="E162" s="55">
        <f>'Ref. ACS-5-YR'!S124</f>
        <v>1.9147315656163098E-2</v>
      </c>
      <c r="F162" s="16">
        <f>'Ref. ACS-5-YR'!AB124</f>
        <v>461980</v>
      </c>
      <c r="G162" s="55">
        <f>'Ref. ACS-5-YR'!AC124</f>
        <v>2.5000000000000001E-2</v>
      </c>
      <c r="I162"/>
    </row>
    <row r="163" spans="1:9" x14ac:dyDescent="0.3">
      <c r="A163" s="7" t="s">
        <v>1505</v>
      </c>
      <c r="B163" s="16">
        <f>B161+B162</f>
        <v>353</v>
      </c>
      <c r="C163" s="55">
        <f t="shared" ref="C163:G163" si="1">C161+C162</f>
        <v>1.45309348371959E-2</v>
      </c>
      <c r="D163" s="16">
        <f t="shared" si="1"/>
        <v>1196</v>
      </c>
      <c r="E163" s="55">
        <f t="shared" si="1"/>
        <v>2.1184264130223E-2</v>
      </c>
      <c r="F163" s="16">
        <f t="shared" si="1"/>
        <v>615649</v>
      </c>
      <c r="G163" s="55">
        <f t="shared" si="1"/>
        <v>3.3000000000000002E-2</v>
      </c>
      <c r="I163"/>
    </row>
    <row r="164" spans="1:9" x14ac:dyDescent="0.3">
      <c r="A164" s="13" t="s">
        <v>1506</v>
      </c>
      <c r="B164" s="16">
        <f>'Ref. ACS-5-YR'!H125</f>
        <v>1403</v>
      </c>
      <c r="C164" s="55">
        <f>'Ref. ACS-5-YR'!I125</f>
        <v>5.775326225661713E-2</v>
      </c>
      <c r="D164" s="16">
        <f>'Ref. ACS-5-YR'!R125</f>
        <v>1976</v>
      </c>
      <c r="E164" s="55">
        <f>'Ref. ACS-5-YR'!S125</f>
        <v>3.5000088562977136E-2</v>
      </c>
      <c r="F164" s="16">
        <f>'Ref. ACS-5-YR'!AB125</f>
        <v>198331</v>
      </c>
      <c r="G164" s="55">
        <f>'Ref. ACS-5-YR'!AC125</f>
        <v>1.0999999999999999E-2</v>
      </c>
      <c r="I164"/>
    </row>
    <row r="165" spans="1:9" x14ac:dyDescent="0.3">
      <c r="A165" s="7" t="s">
        <v>1507</v>
      </c>
      <c r="B165" s="16">
        <f>B164+B160+B159</f>
        <v>1403</v>
      </c>
      <c r="C165" s="55">
        <f t="shared" ref="C165:G165" si="2">C164+C160+C159</f>
        <v>5.775326225661713E-2</v>
      </c>
      <c r="D165" s="16">
        <f t="shared" si="2"/>
        <v>2194</v>
      </c>
      <c r="E165" s="55">
        <f t="shared" si="2"/>
        <v>3.8861434365977651E-2</v>
      </c>
      <c r="F165" s="16">
        <f t="shared" si="2"/>
        <v>287916</v>
      </c>
      <c r="G165" s="55">
        <f t="shared" si="2"/>
        <v>1.6E-2</v>
      </c>
      <c r="I165"/>
    </row>
    <row r="166" spans="1:9" x14ac:dyDescent="0.3">
      <c r="A166" s="7" t="s">
        <v>1508</v>
      </c>
      <c r="B166" s="16">
        <f>'Ref. ACS-5-YR'!H126</f>
        <v>802</v>
      </c>
      <c r="C166" s="55">
        <f>'Ref. ACS-5-YR'!I126</f>
        <v>3.3013625324167455E-2</v>
      </c>
      <c r="D166" s="16">
        <f>'Ref. ACS-5-YR'!R126</f>
        <v>2789</v>
      </c>
      <c r="E166" s="55">
        <f>'Ref. ACS-5-YR'!S126</f>
        <v>4.9400428644809327E-2</v>
      </c>
      <c r="F166" s="16">
        <f>'Ref. ACS-5-YR'!AB126</f>
        <v>1529697</v>
      </c>
      <c r="G166" s="55">
        <f>'Ref. ACS-5-YR'!AC126</f>
        <v>8.4000000000000005E-2</v>
      </c>
      <c r="I166"/>
    </row>
    <row r="167" spans="1:9" x14ac:dyDescent="0.3">
      <c r="A167" s="362" t="s">
        <v>1509</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1510</v>
      </c>
      <c r="C169" t="s">
        <v>179</v>
      </c>
      <c r="E169" t="s">
        <v>179</v>
      </c>
      <c r="G169" t="s">
        <v>179</v>
      </c>
      <c r="I169" s="61" t="s">
        <v>2493</v>
      </c>
    </row>
    <row r="170" spans="1:9" ht="28.2" customHeight="1" x14ac:dyDescent="0.3">
      <c r="A170" s="48" t="s">
        <v>172</v>
      </c>
      <c r="B170" s="51" t="str">
        <f>B3</f>
        <v>City of Madera</v>
      </c>
      <c r="C170" s="51" t="str">
        <f>B3</f>
        <v>City of Madera</v>
      </c>
      <c r="D170" s="51" t="str">
        <f>B4</f>
        <v>Madera County</v>
      </c>
      <c r="E170" s="51" t="str">
        <f>B4</f>
        <v>Madera County</v>
      </c>
      <c r="F170" s="51" t="s">
        <v>173</v>
      </c>
      <c r="G170" s="51" t="s">
        <v>173</v>
      </c>
      <c r="I170" s="37"/>
    </row>
    <row r="171" spans="1:9" x14ac:dyDescent="0.3">
      <c r="A171" s="13" t="s">
        <v>180</v>
      </c>
      <c r="B171" s="16">
        <f>'Ref. ACS-5-YR'!H130</f>
        <v>23491</v>
      </c>
      <c r="C171" s="55"/>
      <c r="D171" s="16">
        <f>'Ref. ACS-5-YR'!R130</f>
        <v>53668</v>
      </c>
      <c r="E171" s="55"/>
      <c r="F171" s="16">
        <f>'Ref. ACS-5-YR'!AB130</f>
        <v>16710195</v>
      </c>
      <c r="G171" s="55"/>
      <c r="I171" s="37"/>
    </row>
    <row r="172" spans="1:9" x14ac:dyDescent="0.3">
      <c r="A172" s="7" t="s">
        <v>1511</v>
      </c>
      <c r="B172" s="118">
        <f>SUM(B173:B175)</f>
        <v>7789</v>
      </c>
      <c r="C172" s="119">
        <f t="shared" ref="C172:G172" si="3">SUM(C173:C175)</f>
        <v>0.33157379421906263</v>
      </c>
      <c r="D172" s="118">
        <f t="shared" si="3"/>
        <v>17122</v>
      </c>
      <c r="E172" s="119">
        <f t="shared" si="3"/>
        <v>0.3190355519117537</v>
      </c>
      <c r="F172" s="118">
        <f t="shared" si="3"/>
        <v>3557264</v>
      </c>
      <c r="G172" s="119">
        <f t="shared" si="3"/>
        <v>0.21299999999999999</v>
      </c>
      <c r="I172" s="37"/>
    </row>
    <row r="173" spans="1:9" x14ac:dyDescent="0.3">
      <c r="A173" s="13" t="s">
        <v>1512</v>
      </c>
      <c r="B173" s="16">
        <f>'Ref. ACS-5-YR'!H131</f>
        <v>453</v>
      </c>
      <c r="C173" s="55">
        <f>'Ref. ACS-5-YR'!I131</f>
        <v>1.9283981099144355E-2</v>
      </c>
      <c r="D173" s="16">
        <f>'Ref. ACS-5-YR'!R131</f>
        <v>1973</v>
      </c>
      <c r="E173" s="55">
        <f>'Ref. ACS-5-YR'!S131</f>
        <v>3.6763061787284786E-2</v>
      </c>
      <c r="F173" s="16">
        <f>'Ref. ACS-5-YR'!AB131</f>
        <v>303289</v>
      </c>
      <c r="G173" s="55">
        <f>'Ref. ACS-5-YR'!AC131</f>
        <v>1.7999999999999999E-2</v>
      </c>
      <c r="I173" s="37"/>
    </row>
    <row r="174" spans="1:9" x14ac:dyDescent="0.3">
      <c r="A174" s="13" t="s">
        <v>1513</v>
      </c>
      <c r="B174" s="16">
        <f>'Ref. ACS-5-YR'!H132</f>
        <v>3778</v>
      </c>
      <c r="C174" s="55">
        <f>'Ref. ACS-5-YR'!I132</f>
        <v>0.16082755097696991</v>
      </c>
      <c r="D174" s="16">
        <f>'Ref. ACS-5-YR'!R132</f>
        <v>7420</v>
      </c>
      <c r="E174" s="55">
        <f>'Ref. ACS-5-YR'!S132</f>
        <v>0.13825743459789819</v>
      </c>
      <c r="F174" s="16">
        <f>'Ref. ACS-5-YR'!AB132</f>
        <v>1229502</v>
      </c>
      <c r="G174" s="55">
        <f>'Ref. ACS-5-YR'!AC132</f>
        <v>7.3999999999999996E-2</v>
      </c>
      <c r="I174" s="37"/>
    </row>
    <row r="175" spans="1:9" x14ac:dyDescent="0.3">
      <c r="A175" s="13" t="s">
        <v>1514</v>
      </c>
      <c r="B175" s="16">
        <f>'Ref. ACS-5-YR'!H133</f>
        <v>3558</v>
      </c>
      <c r="C175" s="55">
        <f>'Ref. ACS-5-YR'!I133</f>
        <v>0.15146226214294836</v>
      </c>
      <c r="D175" s="16">
        <f>'Ref. ACS-5-YR'!R133</f>
        <v>7729</v>
      </c>
      <c r="E175" s="55">
        <f>'Ref. ACS-5-YR'!S133</f>
        <v>0.14401505552657076</v>
      </c>
      <c r="F175" s="16">
        <f>'Ref. ACS-5-YR'!AB133</f>
        <v>2024473</v>
      </c>
      <c r="G175" s="55">
        <f>'Ref. ACS-5-YR'!AC133</f>
        <v>0.121</v>
      </c>
      <c r="I175" s="37"/>
    </row>
    <row r="176" spans="1:9" x14ac:dyDescent="0.3">
      <c r="A176" s="7" t="s">
        <v>1515</v>
      </c>
      <c r="B176" s="118">
        <f>SUM(B177:B179)</f>
        <v>5608</v>
      </c>
      <c r="C176" s="119">
        <f t="shared" ref="C176:G176" si="4">SUM(C177:C179)</f>
        <v>0.23872972627814909</v>
      </c>
      <c r="D176" s="118">
        <f t="shared" si="4"/>
        <v>14084</v>
      </c>
      <c r="E176" s="119">
        <f t="shared" si="4"/>
        <v>0.26242826265185959</v>
      </c>
      <c r="F176" s="118">
        <f t="shared" si="4"/>
        <v>5816131</v>
      </c>
      <c r="G176" s="119">
        <f t="shared" si="4"/>
        <v>0.34800000000000003</v>
      </c>
      <c r="I176" s="37"/>
    </row>
    <row r="177" spans="1:9" x14ac:dyDescent="0.3">
      <c r="A177" s="13" t="s">
        <v>1516</v>
      </c>
      <c r="B177" s="16">
        <f>'Ref. ACS-5-YR'!H134</f>
        <v>2426</v>
      </c>
      <c r="C177" s="55">
        <f>'Ref. ACS-5-YR'!I134</f>
        <v>0.10327359414243753</v>
      </c>
      <c r="D177" s="16">
        <f>'Ref. ACS-5-YR'!R134</f>
        <v>5397</v>
      </c>
      <c r="E177" s="55">
        <f>'Ref. ACS-5-YR'!S134</f>
        <v>0.10056271893865991</v>
      </c>
      <c r="F177" s="16">
        <f>'Ref. ACS-5-YR'!AB134</f>
        <v>2448694</v>
      </c>
      <c r="G177" s="55">
        <f>'Ref. ACS-5-YR'!AC134</f>
        <v>0.14699999999999999</v>
      </c>
      <c r="I177" s="37"/>
    </row>
    <row r="178" spans="1:9" x14ac:dyDescent="0.3">
      <c r="A178" s="13" t="s">
        <v>1517</v>
      </c>
      <c r="B178" s="16">
        <f>'Ref. ACS-5-YR'!H135</f>
        <v>2423</v>
      </c>
      <c r="C178" s="55">
        <f>'Ref. ACS-5-YR'!I135</f>
        <v>0.10314588565833724</v>
      </c>
      <c r="D178" s="16">
        <f>'Ref. ACS-5-YR'!R135</f>
        <v>5868</v>
      </c>
      <c r="E178" s="55">
        <f>'Ref. ACS-5-YR'!S135</f>
        <v>0.1093388984124618</v>
      </c>
      <c r="F178" s="16">
        <f>'Ref. ACS-5-YR'!AB135</f>
        <v>2347020</v>
      </c>
      <c r="G178" s="55">
        <f>'Ref. ACS-5-YR'!AC135</f>
        <v>0.14000000000000001</v>
      </c>
      <c r="I178" s="37"/>
    </row>
    <row r="179" spans="1:9" x14ac:dyDescent="0.3">
      <c r="A179" s="13" t="s">
        <v>1518</v>
      </c>
      <c r="B179" s="16">
        <f>'Ref. ACS-5-YR'!H136</f>
        <v>759</v>
      </c>
      <c r="C179" s="55">
        <f>'Ref. ACS-5-YR'!I136</f>
        <v>3.2310246477374314E-2</v>
      </c>
      <c r="D179" s="16">
        <f>'Ref. ACS-5-YR'!R136</f>
        <v>2819</v>
      </c>
      <c r="E179" s="55">
        <f>'Ref. ACS-5-YR'!S136</f>
        <v>5.2526645300737869E-2</v>
      </c>
      <c r="F179" s="16">
        <f>'Ref. ACS-5-YR'!AB136</f>
        <v>1020417</v>
      </c>
      <c r="G179" s="55">
        <f>'Ref. ACS-5-YR'!AC136</f>
        <v>6.0999999999999999E-2</v>
      </c>
      <c r="I179" s="37"/>
    </row>
    <row r="180" spans="1:9" x14ac:dyDescent="0.3">
      <c r="A180" s="7" t="s">
        <v>1519</v>
      </c>
      <c r="B180" s="118">
        <f>SUM(B181:B184)</f>
        <v>7270</v>
      </c>
      <c r="C180" s="119">
        <f t="shared" ref="C180:G180" si="5">SUM(C181:C184)</f>
        <v>0.30948022646971179</v>
      </c>
      <c r="D180" s="118">
        <f t="shared" si="5"/>
        <v>16359</v>
      </c>
      <c r="E180" s="119">
        <f t="shared" si="5"/>
        <v>0.30481851382574343</v>
      </c>
      <c r="F180" s="118">
        <f t="shared" si="5"/>
        <v>5218958</v>
      </c>
      <c r="G180" s="119">
        <f t="shared" si="5"/>
        <v>0.31199999999999994</v>
      </c>
      <c r="I180" s="37"/>
    </row>
    <row r="181" spans="1:9" x14ac:dyDescent="0.3">
      <c r="A181" s="13" t="s">
        <v>1520</v>
      </c>
      <c r="B181" s="16">
        <f>'Ref. ACS-5-YR'!H137</f>
        <v>3373</v>
      </c>
      <c r="C181" s="55">
        <f>'Ref. ACS-5-YR'!I137</f>
        <v>0.14358690562343024</v>
      </c>
      <c r="D181" s="16">
        <f>'Ref. ACS-5-YR'!R137</f>
        <v>7351</v>
      </c>
      <c r="E181" s="55">
        <f>'Ref. ACS-5-YR'!S137</f>
        <v>0.13697175225460237</v>
      </c>
      <c r="F181" s="16">
        <f>'Ref. ACS-5-YR'!AB137</f>
        <v>2508520</v>
      </c>
      <c r="G181" s="55">
        <f>'Ref. ACS-5-YR'!AC137</f>
        <v>0.15</v>
      </c>
      <c r="I181" s="37"/>
    </row>
    <row r="182" spans="1:9" x14ac:dyDescent="0.3">
      <c r="A182" s="13" t="s">
        <v>1521</v>
      </c>
      <c r="B182" s="16">
        <f>'Ref. ACS-5-YR'!H138</f>
        <v>750</v>
      </c>
      <c r="C182" s="55">
        <f>'Ref. ACS-5-YR'!I138</f>
        <v>3.1927121025073432E-2</v>
      </c>
      <c r="D182" s="16">
        <f>'Ref. ACS-5-YR'!R138</f>
        <v>1524</v>
      </c>
      <c r="E182" s="55">
        <f>'Ref. ACS-5-YR'!S138</f>
        <v>2.8396810017142431E-2</v>
      </c>
      <c r="F182" s="16">
        <f>'Ref. ACS-5-YR'!AB138</f>
        <v>471835</v>
      </c>
      <c r="G182" s="55">
        <f>'Ref. ACS-5-YR'!AC138</f>
        <v>2.8000000000000001E-2</v>
      </c>
    </row>
    <row r="183" spans="1:9" x14ac:dyDescent="0.3">
      <c r="A183" s="13" t="s">
        <v>1522</v>
      </c>
      <c r="B183" s="16">
        <f>'Ref. ACS-5-YR'!H139</f>
        <v>1316</v>
      </c>
      <c r="C183" s="55">
        <f>'Ref. ACS-5-YR'!I139</f>
        <v>5.6021455025328848E-2</v>
      </c>
      <c r="D183" s="16">
        <f>'Ref. ACS-5-YR'!R139</f>
        <v>2639</v>
      </c>
      <c r="E183" s="55">
        <f>'Ref. ACS-5-YR'!S139</f>
        <v>4.9172691361705302E-2</v>
      </c>
      <c r="F183" s="16">
        <f>'Ref. ACS-5-YR'!AB139</f>
        <v>728996</v>
      </c>
      <c r="G183" s="55">
        <f>'Ref. ACS-5-YR'!AC139</f>
        <v>4.3999999999999997E-2</v>
      </c>
      <c r="I183" s="37"/>
    </row>
    <row r="184" spans="1:9" x14ac:dyDescent="0.3">
      <c r="A184" s="13" t="s">
        <v>1523</v>
      </c>
      <c r="B184" s="16">
        <f>'Ref. ACS-5-YR'!H140</f>
        <v>1831</v>
      </c>
      <c r="C184" s="55">
        <f>'Ref. ACS-5-YR'!I140</f>
        <v>7.7944744795879276E-2</v>
      </c>
      <c r="D184" s="16">
        <f>'Ref. ACS-5-YR'!R140</f>
        <v>4845</v>
      </c>
      <c r="E184" s="55">
        <f>'Ref. ACS-5-YR'!S140</f>
        <v>9.027726019229336E-2</v>
      </c>
      <c r="F184" s="16">
        <f>'Ref. ACS-5-YR'!AB140</f>
        <v>1509607</v>
      </c>
      <c r="G184" s="55">
        <f>'Ref. ACS-5-YR'!AC140</f>
        <v>0.09</v>
      </c>
      <c r="I184" s="37"/>
    </row>
    <row r="185" spans="1:9" x14ac:dyDescent="0.3">
      <c r="A185" s="7" t="s">
        <v>1524</v>
      </c>
      <c r="B185" s="118">
        <f>B186+B187</f>
        <v>2824</v>
      </c>
      <c r="C185" s="119">
        <f t="shared" ref="C185:G185" si="6">C186+C187</f>
        <v>0.1202162530330765</v>
      </c>
      <c r="D185" s="118">
        <f t="shared" si="6"/>
        <v>6103</v>
      </c>
      <c r="E185" s="119">
        <f t="shared" si="6"/>
        <v>0.11371767161064321</v>
      </c>
      <c r="F185" s="118">
        <f t="shared" si="6"/>
        <v>2117842</v>
      </c>
      <c r="G185" s="119">
        <f t="shared" si="6"/>
        <v>0.127</v>
      </c>
      <c r="I185" s="37" t="str">
        <f>A188</f>
        <v>Source: U.S. Census Bureau, ACS16-20 (5-year Estimates), Table B08303.</v>
      </c>
    </row>
    <row r="186" spans="1:9" x14ac:dyDescent="0.3">
      <c r="A186" s="13" t="s">
        <v>1525</v>
      </c>
      <c r="B186" s="16">
        <f>'Ref. ACS-5-YR'!H141</f>
        <v>1729</v>
      </c>
      <c r="C186" s="55">
        <f>'Ref. ACS-5-YR'!I141</f>
        <v>7.3602656336469285E-2</v>
      </c>
      <c r="D186" s="16">
        <f>'Ref. ACS-5-YR'!R141</f>
        <v>3540</v>
      </c>
      <c r="E186" s="55">
        <f>'Ref. ACS-5-YR'!S141</f>
        <v>6.5961094134307216E-2</v>
      </c>
      <c r="F186" s="16">
        <f>'Ref. ACS-5-YR'!AB141</f>
        <v>1404642</v>
      </c>
      <c r="G186" s="55">
        <f>'Ref. ACS-5-YR'!AC141</f>
        <v>8.4000000000000005E-2</v>
      </c>
      <c r="I186" s="84" t="s">
        <v>2491</v>
      </c>
    </row>
    <row r="187" spans="1:9" x14ac:dyDescent="0.3">
      <c r="A187" s="13" t="s">
        <v>1526</v>
      </c>
      <c r="B187" s="16">
        <f>'Ref. ACS-5-YR'!H142</f>
        <v>1095</v>
      </c>
      <c r="C187" s="55">
        <f>'Ref. ACS-5-YR'!I142</f>
        <v>4.661359669660721E-2</v>
      </c>
      <c r="D187" s="16">
        <f>'Ref. ACS-5-YR'!R142</f>
        <v>2563</v>
      </c>
      <c r="E187" s="55">
        <f>'Ref. ACS-5-YR'!S142</f>
        <v>4.7756577476335993E-2</v>
      </c>
      <c r="F187" s="16">
        <f>'Ref. ACS-5-YR'!AB142</f>
        <v>713200</v>
      </c>
      <c r="G187" s="55">
        <f>'Ref. ACS-5-YR'!AC142</f>
        <v>4.2999999999999997E-2</v>
      </c>
      <c r="I187"/>
    </row>
    <row r="188" spans="1:9" x14ac:dyDescent="0.3">
      <c r="A188" s="47" t="s">
        <v>1527</v>
      </c>
      <c r="I188"/>
    </row>
    <row r="189" spans="1:9" x14ac:dyDescent="0.3">
      <c r="A189" s="47"/>
      <c r="I189"/>
    </row>
    <row r="190" spans="1:9" x14ac:dyDescent="0.3">
      <c r="A190" s="1" t="s">
        <v>1528</v>
      </c>
      <c r="B190" s="58"/>
      <c r="C190" s="74" t="s">
        <v>179</v>
      </c>
      <c r="E190" t="s">
        <v>179</v>
      </c>
      <c r="G190" t="s">
        <v>179</v>
      </c>
      <c r="I190" s="61" t="s">
        <v>2492</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17542</v>
      </c>
      <c r="C192" s="55"/>
      <c r="D192" s="16">
        <f>'Ref. ACS-5-YR'!E130</f>
        <v>17969</v>
      </c>
      <c r="E192" s="55"/>
      <c r="F192" s="16">
        <f>'Ref. ACS-5-YR'!H130</f>
        <v>23491</v>
      </c>
      <c r="G192" s="55"/>
      <c r="I192"/>
    </row>
    <row r="193" spans="1:9" x14ac:dyDescent="0.3">
      <c r="A193" s="7" t="s">
        <v>1511</v>
      </c>
      <c r="B193" s="118">
        <f>SUM(B194:B196)</f>
        <v>6835</v>
      </c>
      <c r="C193" s="119">
        <f t="shared" ref="C193:G193" si="7">SUM(C194:C196)</f>
        <v>0.38963630144795347</v>
      </c>
      <c r="D193" s="118">
        <f t="shared" si="7"/>
        <v>6396</v>
      </c>
      <c r="E193" s="119">
        <f t="shared" si="7"/>
        <v>0.35594635205075409</v>
      </c>
      <c r="F193" s="118">
        <f t="shared" si="7"/>
        <v>7789</v>
      </c>
      <c r="G193" s="119">
        <f t="shared" si="7"/>
        <v>0.33157379421906263</v>
      </c>
      <c r="I193"/>
    </row>
    <row r="194" spans="1:9" x14ac:dyDescent="0.3">
      <c r="A194" s="13" t="s">
        <v>1529</v>
      </c>
      <c r="B194" s="16">
        <f>'Ref. ACS-5-YR'!B131</f>
        <v>429</v>
      </c>
      <c r="C194" s="55">
        <f>'Ref. ACS-5-YR'!C131</f>
        <v>2.4455592292783036E-2</v>
      </c>
      <c r="D194" s="16">
        <f>'Ref. ACS-5-YR'!E131</f>
        <v>270</v>
      </c>
      <c r="E194" s="55">
        <f>'Ref. ACS-5-YR'!F131</f>
        <v>1.5025877900829206E-2</v>
      </c>
      <c r="F194" s="16">
        <f>'Ref. ACS-5-YR'!H131</f>
        <v>453</v>
      </c>
      <c r="G194" s="55">
        <f>'Ref. ACS-5-YR'!I131</f>
        <v>1.9283981099144355E-2</v>
      </c>
      <c r="I194"/>
    </row>
    <row r="195" spans="1:9" x14ac:dyDescent="0.3">
      <c r="A195" s="13" t="s">
        <v>1530</v>
      </c>
      <c r="B195" s="16">
        <f>'Ref. ACS-5-YR'!B132</f>
        <v>2467</v>
      </c>
      <c r="C195" s="55">
        <f>'Ref. ACS-5-YR'!C132</f>
        <v>0.14063390719416258</v>
      </c>
      <c r="D195" s="16">
        <f>'Ref. ACS-5-YR'!E132</f>
        <v>2196</v>
      </c>
      <c r="E195" s="55">
        <f>'Ref. ACS-5-YR'!F132</f>
        <v>0.12221047359341088</v>
      </c>
      <c r="F195" s="16">
        <f>'Ref. ACS-5-YR'!H132</f>
        <v>3778</v>
      </c>
      <c r="G195" s="55">
        <f>'Ref. ACS-5-YR'!I132</f>
        <v>0.16082755097696991</v>
      </c>
      <c r="I195"/>
    </row>
    <row r="196" spans="1:9" x14ac:dyDescent="0.3">
      <c r="A196" s="13" t="s">
        <v>1531</v>
      </c>
      <c r="B196" s="16">
        <f>'Ref. ACS-5-YR'!B133</f>
        <v>3939</v>
      </c>
      <c r="C196" s="55">
        <f>'Ref. ACS-5-YR'!C133</f>
        <v>0.22454680196100787</v>
      </c>
      <c r="D196" s="16">
        <f>'Ref. ACS-5-YR'!E133</f>
        <v>3930</v>
      </c>
      <c r="E196" s="55">
        <f>'Ref. ACS-5-YR'!F133</f>
        <v>0.21871000055651399</v>
      </c>
      <c r="F196" s="16">
        <f>'Ref. ACS-5-YR'!H133</f>
        <v>3558</v>
      </c>
      <c r="G196" s="55">
        <f>'Ref. ACS-5-YR'!I133</f>
        <v>0.15146226214294836</v>
      </c>
    </row>
    <row r="197" spans="1:9" x14ac:dyDescent="0.3">
      <c r="A197" s="7" t="s">
        <v>1515</v>
      </c>
      <c r="B197" s="118">
        <f>SUM(B198:B200)</f>
        <v>4718</v>
      </c>
      <c r="C197" s="119">
        <f t="shared" ref="C197:G197" si="8">SUM(C198:C200)</f>
        <v>0.26895450917797287</v>
      </c>
      <c r="D197" s="118">
        <f t="shared" si="8"/>
        <v>4801</v>
      </c>
      <c r="E197" s="119">
        <f t="shared" si="8"/>
        <v>0.26718236963659636</v>
      </c>
      <c r="F197" s="118">
        <f t="shared" si="8"/>
        <v>5608</v>
      </c>
      <c r="G197" s="119">
        <f t="shared" si="8"/>
        <v>0.23872972627814909</v>
      </c>
    </row>
    <row r="198" spans="1:9" x14ac:dyDescent="0.3">
      <c r="A198" s="13" t="s">
        <v>1532</v>
      </c>
      <c r="B198" s="16">
        <f>'Ref. ACS-5-YR'!B134</f>
        <v>2432</v>
      </c>
      <c r="C198" s="55">
        <f>'Ref. ACS-5-YR'!C134</f>
        <v>0.13863869570174439</v>
      </c>
      <c r="D198" s="16">
        <f>'Ref. ACS-5-YR'!E134</f>
        <v>2965</v>
      </c>
      <c r="E198" s="55">
        <f>'Ref. ACS-5-YR'!F134</f>
        <v>0.16500639991095775</v>
      </c>
      <c r="F198" s="16">
        <f>'Ref. ACS-5-YR'!H134</f>
        <v>2426</v>
      </c>
      <c r="G198" s="55">
        <f>'Ref. ACS-5-YR'!I134</f>
        <v>0.10327359414243753</v>
      </c>
      <c r="I198" s="37"/>
    </row>
    <row r="199" spans="1:9" x14ac:dyDescent="0.3">
      <c r="A199" s="13" t="s">
        <v>1533</v>
      </c>
      <c r="B199" s="16">
        <f>'Ref. ACS-5-YR'!B135</f>
        <v>1587</v>
      </c>
      <c r="C199" s="55">
        <f>'Ref. ACS-5-YR'!C135</f>
        <v>9.046858967050507E-2</v>
      </c>
      <c r="D199" s="16">
        <f>'Ref. ACS-5-YR'!E135</f>
        <v>1547</v>
      </c>
      <c r="E199" s="55">
        <f>'Ref. ACS-5-YR'!F135</f>
        <v>8.6092715231788075E-2</v>
      </c>
      <c r="F199" s="16">
        <f>'Ref. ACS-5-YR'!H135</f>
        <v>2423</v>
      </c>
      <c r="G199" s="55">
        <f>'Ref. ACS-5-YR'!I135</f>
        <v>0.10314588565833724</v>
      </c>
      <c r="I199" s="37"/>
    </row>
    <row r="200" spans="1:9" x14ac:dyDescent="0.3">
      <c r="A200" s="13" t="s">
        <v>1534</v>
      </c>
      <c r="B200" s="16">
        <f>'Ref. ACS-5-YR'!B136</f>
        <v>699</v>
      </c>
      <c r="C200" s="55">
        <f>'Ref. ACS-5-YR'!C136</f>
        <v>3.9847223805723406E-2</v>
      </c>
      <c r="D200" s="16">
        <f>'Ref. ACS-5-YR'!E136</f>
        <v>289</v>
      </c>
      <c r="E200" s="55">
        <f>'Ref. ACS-5-YR'!F136</f>
        <v>1.6083254493850521E-2</v>
      </c>
      <c r="F200" s="16">
        <f>'Ref. ACS-5-YR'!H136</f>
        <v>759</v>
      </c>
      <c r="G200" s="55">
        <f>'Ref. ACS-5-YR'!I136</f>
        <v>3.2310246477374314E-2</v>
      </c>
      <c r="I200" s="37"/>
    </row>
    <row r="201" spans="1:9" x14ac:dyDescent="0.3">
      <c r="A201" s="7" t="s">
        <v>1519</v>
      </c>
      <c r="B201" s="118">
        <f>SUM(B202:B205)</f>
        <v>4495</v>
      </c>
      <c r="C201" s="119">
        <f t="shared" ref="C201:G201" si="9">SUM(C202:C205)</f>
        <v>0.25624216166913694</v>
      </c>
      <c r="D201" s="118">
        <f t="shared" si="9"/>
        <v>5689</v>
      </c>
      <c r="E201" s="119">
        <f t="shared" si="9"/>
        <v>0.31660081251043459</v>
      </c>
      <c r="F201" s="118">
        <f t="shared" si="9"/>
        <v>7270</v>
      </c>
      <c r="G201" s="119">
        <f t="shared" si="9"/>
        <v>0.30948022646971179</v>
      </c>
      <c r="I201" s="37"/>
    </row>
    <row r="202" spans="1:9" x14ac:dyDescent="0.3">
      <c r="A202" s="13" t="s">
        <v>1535</v>
      </c>
      <c r="B202" s="16">
        <f>'Ref. ACS-5-YR'!B137</f>
        <v>2446</v>
      </c>
      <c r="C202" s="55">
        <f>'Ref. ACS-5-YR'!C137</f>
        <v>0.13943678029871168</v>
      </c>
      <c r="D202" s="16">
        <f>'Ref. ACS-5-YR'!E137</f>
        <v>3534</v>
      </c>
      <c r="E202" s="55">
        <f>'Ref. ACS-5-YR'!F137</f>
        <v>0.1966720463019645</v>
      </c>
      <c r="F202" s="16">
        <f>'Ref. ACS-5-YR'!H137</f>
        <v>3373</v>
      </c>
      <c r="G202" s="55">
        <f>'Ref. ACS-5-YR'!I137</f>
        <v>0.14358690562343024</v>
      </c>
      <c r="I202" s="37"/>
    </row>
    <row r="203" spans="1:9" x14ac:dyDescent="0.3">
      <c r="A203" s="13" t="s">
        <v>1536</v>
      </c>
      <c r="B203" s="16">
        <f>'Ref. ACS-5-YR'!B138</f>
        <v>394</v>
      </c>
      <c r="C203" s="55">
        <f>'Ref. ACS-5-YR'!C138</f>
        <v>2.2460380800364839E-2</v>
      </c>
      <c r="D203" s="16">
        <f>'Ref. ACS-5-YR'!E138</f>
        <v>424</v>
      </c>
      <c r="E203" s="55">
        <f>'Ref. ACS-5-YR'!F138</f>
        <v>2.3596193444265123E-2</v>
      </c>
      <c r="F203" s="16">
        <f>'Ref. ACS-5-YR'!H138</f>
        <v>750</v>
      </c>
      <c r="G203" s="55">
        <f>'Ref. ACS-5-YR'!I138</f>
        <v>3.1927121025073432E-2</v>
      </c>
      <c r="I203" s="37"/>
    </row>
    <row r="204" spans="1:9" x14ac:dyDescent="0.3">
      <c r="A204" s="13" t="s">
        <v>1537</v>
      </c>
      <c r="B204" s="16">
        <f>'Ref. ACS-5-YR'!B139</f>
        <v>537</v>
      </c>
      <c r="C204" s="55">
        <f>'Ref. ACS-5-YR'!C139</f>
        <v>3.0612244897959183E-2</v>
      </c>
      <c r="D204" s="16">
        <f>'Ref. ACS-5-YR'!E139</f>
        <v>758</v>
      </c>
      <c r="E204" s="55">
        <f>'Ref. ACS-5-YR'!F139</f>
        <v>4.2183760921587175E-2</v>
      </c>
      <c r="F204" s="16">
        <f>'Ref. ACS-5-YR'!H139</f>
        <v>1316</v>
      </c>
      <c r="G204" s="55">
        <f>'Ref. ACS-5-YR'!I139</f>
        <v>5.6021455025328848E-2</v>
      </c>
      <c r="I204" s="37"/>
    </row>
    <row r="205" spans="1:9" x14ac:dyDescent="0.3">
      <c r="A205" s="13" t="s">
        <v>1538</v>
      </c>
      <c r="B205" s="16">
        <f>'Ref. ACS-5-YR'!B140</f>
        <v>1118</v>
      </c>
      <c r="C205" s="55">
        <f>'Ref. ACS-5-YR'!C140</f>
        <v>6.3732755672101238E-2</v>
      </c>
      <c r="D205" s="16">
        <f>'Ref. ACS-5-YR'!E140</f>
        <v>973</v>
      </c>
      <c r="E205" s="55">
        <f>'Ref. ACS-5-YR'!F140</f>
        <v>5.4148811842617842E-2</v>
      </c>
      <c r="F205" s="16">
        <f>'Ref. ACS-5-YR'!H140</f>
        <v>1831</v>
      </c>
      <c r="G205" s="55">
        <f>'Ref. ACS-5-YR'!I140</f>
        <v>7.7944744795879276E-2</v>
      </c>
      <c r="I205" s="37"/>
    </row>
    <row r="206" spans="1:9" x14ac:dyDescent="0.3">
      <c r="A206" s="7" t="s">
        <v>1524</v>
      </c>
      <c r="B206" s="118">
        <f>SUM(B207:B208)</f>
        <v>1494</v>
      </c>
      <c r="C206" s="119">
        <f t="shared" ref="C206:G206" si="10">SUM(C207:C208)</f>
        <v>8.5167027704936726E-2</v>
      </c>
      <c r="D206" s="118">
        <f t="shared" si="10"/>
        <v>1083</v>
      </c>
      <c r="E206" s="119">
        <f t="shared" si="10"/>
        <v>6.0270465802214929E-2</v>
      </c>
      <c r="F206" s="118">
        <f t="shared" si="10"/>
        <v>2824</v>
      </c>
      <c r="G206" s="119">
        <f t="shared" si="10"/>
        <v>0.1202162530330765</v>
      </c>
      <c r="I206" s="37"/>
    </row>
    <row r="207" spans="1:9" x14ac:dyDescent="0.3">
      <c r="A207" s="13" t="s">
        <v>1539</v>
      </c>
      <c r="B207" s="16">
        <f>'Ref. ACS-5-YR'!B141</f>
        <v>746</v>
      </c>
      <c r="C207" s="55">
        <f>'Ref. ACS-5-YR'!C141</f>
        <v>4.2526507809827842E-2</v>
      </c>
      <c r="D207" s="16">
        <f>'Ref. ACS-5-YR'!E141</f>
        <v>606</v>
      </c>
      <c r="E207" s="55">
        <f>'Ref. ACS-5-YR'!F141</f>
        <v>3.3724748177416664E-2</v>
      </c>
      <c r="F207" s="16">
        <f>'Ref. ACS-5-YR'!H141</f>
        <v>1729</v>
      </c>
      <c r="G207" s="55">
        <f>'Ref. ACS-5-YR'!I141</f>
        <v>7.3602656336469285E-2</v>
      </c>
      <c r="I207" s="37"/>
    </row>
    <row r="208" spans="1:9" x14ac:dyDescent="0.3">
      <c r="A208" s="13" t="s">
        <v>1540</v>
      </c>
      <c r="B208" s="16">
        <f>'Ref. ACS-5-YR'!B142</f>
        <v>748</v>
      </c>
      <c r="C208" s="55">
        <f>'Ref. ACS-5-YR'!C142</f>
        <v>4.2640519895108885E-2</v>
      </c>
      <c r="D208" s="16">
        <f>'Ref. ACS-5-YR'!E142</f>
        <v>477</v>
      </c>
      <c r="E208" s="55">
        <f>'Ref. ACS-5-YR'!F142</f>
        <v>2.6545717624798265E-2</v>
      </c>
      <c r="F208" s="16">
        <f>'Ref. ACS-5-YR'!H142</f>
        <v>1095</v>
      </c>
      <c r="G208" s="55">
        <f>'Ref. ACS-5-YR'!I142</f>
        <v>4.661359669660721E-2</v>
      </c>
      <c r="I208" s="37"/>
    </row>
    <row r="209" spans="1:9" x14ac:dyDescent="0.3">
      <c r="A209" s="47" t="s">
        <v>1541</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6" t="s">
        <v>1542</v>
      </c>
      <c r="B1" s="364"/>
      <c r="C1" s="364"/>
      <c r="D1" s="364"/>
      <c r="E1" s="364"/>
      <c r="F1" s="364"/>
      <c r="G1" s="364"/>
      <c r="H1" s="364"/>
      <c r="I1" s="364"/>
      <c r="J1" s="364"/>
      <c r="K1" s="364"/>
      <c r="L1" s="364"/>
      <c r="M1" s="364"/>
      <c r="N1" s="350" t="s">
        <v>169</v>
      </c>
    </row>
    <row r="2" spans="1:14" x14ac:dyDescent="0.3">
      <c r="A2" s="351" t="s">
        <v>5</v>
      </c>
      <c r="B2" s="352"/>
      <c r="C2" s="352"/>
      <c r="D2" s="352"/>
      <c r="E2" s="352"/>
      <c r="F2" s="352"/>
      <c r="G2" s="352"/>
      <c r="H2" s="352"/>
      <c r="I2" s="352"/>
      <c r="J2" s="352"/>
      <c r="K2" s="352"/>
      <c r="L2" s="353"/>
      <c r="M2" s="285" t="s">
        <v>6</v>
      </c>
      <c r="N2" s="350"/>
    </row>
    <row r="3" spans="1:14" x14ac:dyDescent="0.3">
      <c r="A3" s="77" t="s">
        <v>0</v>
      </c>
      <c r="B3" s="77" t="str">
        <f>Population!B3</f>
        <v>City of Madera</v>
      </c>
      <c r="C3" s="65"/>
      <c r="D3" s="65"/>
      <c r="E3" s="65"/>
      <c r="F3" s="65"/>
      <c r="G3" s="65"/>
      <c r="H3" s="65"/>
      <c r="I3" s="65"/>
      <c r="J3" s="65"/>
      <c r="K3" s="65"/>
      <c r="L3" s="272"/>
      <c r="M3" s="76"/>
      <c r="N3" s="350"/>
    </row>
    <row r="4" spans="1:14" x14ac:dyDescent="0.3">
      <c r="A4" s="77" t="s">
        <v>2</v>
      </c>
      <c r="B4" s="77" t="str">
        <f>Population!B4</f>
        <v>Madera County</v>
      </c>
      <c r="C4" s="65"/>
      <c r="D4" s="65"/>
      <c r="E4" s="65"/>
      <c r="F4" s="65"/>
      <c r="G4" s="65"/>
      <c r="H4" s="65"/>
      <c r="I4" s="65"/>
      <c r="J4" s="65"/>
      <c r="K4" s="65"/>
      <c r="L4" s="272"/>
      <c r="M4" s="76"/>
      <c r="N4" s="350"/>
    </row>
    <row r="5" spans="1:14" x14ac:dyDescent="0.3">
      <c r="A5" s="66"/>
      <c r="B5" s="66"/>
      <c r="C5" s="66"/>
      <c r="D5" s="66"/>
      <c r="E5" s="66"/>
      <c r="F5" s="66"/>
      <c r="G5" s="66"/>
      <c r="H5" s="66"/>
      <c r="I5" s="66"/>
      <c r="J5" s="66"/>
      <c r="K5" s="66"/>
      <c r="L5" s="273"/>
      <c r="M5" s="75"/>
    </row>
    <row r="6" spans="1:14" x14ac:dyDescent="0.3">
      <c r="A6" s="1" t="s">
        <v>1543</v>
      </c>
      <c r="M6" s="61" t="s">
        <v>1544</v>
      </c>
    </row>
    <row r="7" spans="1:14" ht="40.200000000000003" customHeight="1" x14ac:dyDescent="0.3">
      <c r="A7" s="48" t="s">
        <v>172</v>
      </c>
      <c r="B7" s="60" t="str">
        <f>B3</f>
        <v>City of Madera</v>
      </c>
      <c r="C7" s="60" t="s">
        <v>179</v>
      </c>
      <c r="D7" s="60" t="str">
        <f>B4</f>
        <v>Madera County</v>
      </c>
      <c r="E7" s="60" t="s">
        <v>1445</v>
      </c>
      <c r="F7" s="60" t="s">
        <v>173</v>
      </c>
      <c r="G7" s="60" t="s">
        <v>2455</v>
      </c>
      <c r="H7" s="58"/>
      <c r="I7" s="58"/>
      <c r="J7" s="58"/>
      <c r="K7" s="58"/>
      <c r="L7" s="271"/>
    </row>
    <row r="8" spans="1:14" x14ac:dyDescent="0.3">
      <c r="A8" s="7" t="s">
        <v>1545</v>
      </c>
      <c r="B8" s="16">
        <f>'Ref. ACS-5-YR'!H924</f>
        <v>18713</v>
      </c>
      <c r="C8" s="55"/>
      <c r="D8" s="16">
        <f>'Ref. ACS-5-YR'!R924</f>
        <v>50480</v>
      </c>
      <c r="E8" s="55">
        <f>B8/D8</f>
        <v>0.37070126782884311</v>
      </c>
      <c r="F8" s="16">
        <f>'Ref. ACS-5-YR'!AB924</f>
        <v>14210945</v>
      </c>
      <c r="G8" s="55">
        <f>D8/F8</f>
        <v>3.5521916382056226E-3</v>
      </c>
      <c r="H8" s="54"/>
      <c r="I8" s="54"/>
      <c r="J8" s="54"/>
      <c r="K8" s="54"/>
      <c r="L8" s="270"/>
    </row>
    <row r="9" spans="1:14" x14ac:dyDescent="0.3">
      <c r="A9" t="s">
        <v>1546</v>
      </c>
    </row>
    <row r="11" spans="1:14" x14ac:dyDescent="0.3">
      <c r="A11" s="1" t="s">
        <v>1547</v>
      </c>
    </row>
    <row r="12" spans="1:14" x14ac:dyDescent="0.3">
      <c r="A12" s="80"/>
      <c r="B12" s="92">
        <v>1980</v>
      </c>
      <c r="C12" s="60">
        <v>1990</v>
      </c>
      <c r="D12" s="60">
        <v>2000</v>
      </c>
      <c r="E12" s="60">
        <v>2010</v>
      </c>
      <c r="F12" s="60">
        <v>2020</v>
      </c>
      <c r="H12" s="23"/>
      <c r="I12" s="23"/>
      <c r="J12" s="23"/>
      <c r="K12" s="23"/>
      <c r="L12" s="281"/>
    </row>
    <row r="13" spans="1:14" x14ac:dyDescent="0.3">
      <c r="A13" s="81" t="s">
        <v>1545</v>
      </c>
      <c r="B13" s="16">
        <f>'Ref. DC-1980'!B13</f>
        <v>7359</v>
      </c>
      <c r="C13" s="16">
        <f>'Ref. DC-1990'!B11</f>
        <v>9530</v>
      </c>
      <c r="D13" s="16">
        <f>'Ref. DC-2000'!B40</f>
        <v>12521</v>
      </c>
      <c r="E13" s="16">
        <f>'Ref. DC-2010'!B48</f>
        <v>17049</v>
      </c>
      <c r="F13" s="16">
        <f>'Ref. ACS-5-YR'!H924</f>
        <v>18713</v>
      </c>
      <c r="H13" s="2"/>
      <c r="I13" s="2"/>
      <c r="J13" s="2"/>
      <c r="K13" s="2"/>
      <c r="L13" s="267"/>
    </row>
    <row r="14" spans="1:14" x14ac:dyDescent="0.3">
      <c r="A14" s="13" t="s">
        <v>177</v>
      </c>
      <c r="B14" s="3"/>
      <c r="C14" s="4">
        <f>(C13-B13)/B13</f>
        <v>0.29501290936268515</v>
      </c>
      <c r="D14" s="4">
        <f>(D13-C13)/C13</f>
        <v>0.31385099685204615</v>
      </c>
      <c r="E14" s="4">
        <f>(E13-D13)/D13</f>
        <v>0.36163245747144795</v>
      </c>
      <c r="F14" s="4">
        <f>(F13-E13)/E13</f>
        <v>9.7601032318611058E-2</v>
      </c>
      <c r="H14" s="19"/>
      <c r="I14" s="19"/>
      <c r="J14" s="19"/>
      <c r="K14" s="19"/>
      <c r="L14" s="268"/>
    </row>
    <row r="15" spans="1:14" x14ac:dyDescent="0.3">
      <c r="A15" t="s">
        <v>1548</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1549</v>
      </c>
      <c r="M22" s="61" t="s">
        <v>1550</v>
      </c>
    </row>
    <row r="23" spans="1:13" ht="28.95" customHeight="1" x14ac:dyDescent="0.3">
      <c r="A23" s="48" t="s">
        <v>172</v>
      </c>
      <c r="B23" s="60" t="str">
        <f>B3</f>
        <v>City of Madera</v>
      </c>
      <c r="C23" s="60" t="s">
        <v>179</v>
      </c>
      <c r="D23" s="60" t="str">
        <f>B4</f>
        <v>Madera County</v>
      </c>
      <c r="E23" s="60" t="s">
        <v>179</v>
      </c>
      <c r="F23" s="60" t="s">
        <v>173</v>
      </c>
      <c r="G23" s="60" t="s">
        <v>179</v>
      </c>
      <c r="H23" s="82"/>
      <c r="I23" s="58"/>
      <c r="J23" s="58"/>
      <c r="K23" s="58"/>
      <c r="L23" s="271"/>
    </row>
    <row r="24" spans="1:13" x14ac:dyDescent="0.3">
      <c r="A24" s="7" t="s">
        <v>174</v>
      </c>
      <c r="B24" s="16">
        <f>'Ref. ACS-5-YR'!H1095</f>
        <v>18713</v>
      </c>
      <c r="C24" s="55"/>
      <c r="D24" s="16">
        <f>'Ref. ACS-5-YR'!R1095</f>
        <v>50480</v>
      </c>
      <c r="E24" s="55"/>
      <c r="F24" s="16">
        <f>'Ref. ACS-5-YR'!AB1095</f>
        <v>14210945</v>
      </c>
      <c r="G24" s="55"/>
      <c r="H24" s="54"/>
      <c r="I24" s="54"/>
      <c r="J24" s="54"/>
      <c r="K24" s="54"/>
      <c r="L24" s="270"/>
    </row>
    <row r="25" spans="1:13" x14ac:dyDescent="0.3">
      <c r="A25" s="13" t="s">
        <v>1551</v>
      </c>
      <c r="B25" s="16">
        <f>'Ref. ACS-5-YR'!H1096</f>
        <v>13861</v>
      </c>
      <c r="C25" s="55">
        <f>'Ref. ACS-5-YR'!I1096</f>
        <v>0.74071501095495107</v>
      </c>
      <c r="D25" s="16">
        <f>'Ref. ACS-5-YR'!R1096</f>
        <v>40658</v>
      </c>
      <c r="E25" s="55">
        <f>'Ref. ACS-5-YR'!S1096</f>
        <v>0.80542789223454836</v>
      </c>
      <c r="F25" s="16">
        <f>'Ref. ACS-5-YR'!AB1096</f>
        <v>8206621</v>
      </c>
      <c r="G25" s="55">
        <f>'Ref. ACS-5-YR'!AC1096</f>
        <v>0.57699999999999996</v>
      </c>
      <c r="H25" s="54"/>
      <c r="I25" s="54"/>
      <c r="J25" s="54"/>
      <c r="K25" s="54"/>
      <c r="L25" s="270"/>
    </row>
    <row r="26" spans="1:13" x14ac:dyDescent="0.3">
      <c r="A26" s="13" t="s">
        <v>1552</v>
      </c>
      <c r="B26" s="16">
        <f>'Ref. ACS-5-YR'!H1097</f>
        <v>350</v>
      </c>
      <c r="C26" s="55">
        <f>'Ref. ACS-5-YR'!I1097</f>
        <v>1.8703575054774754E-2</v>
      </c>
      <c r="D26" s="16">
        <f>'Ref. ACS-5-YR'!R1097</f>
        <v>817</v>
      </c>
      <c r="E26" s="55">
        <f>'Ref. ACS-5-YR'!S1097</f>
        <v>1.6184627575277336E-2</v>
      </c>
      <c r="F26" s="16">
        <f>'Ref. ACS-5-YR'!AB1097</f>
        <v>1009488</v>
      </c>
      <c r="G26" s="55">
        <f>'Ref. ACS-5-YR'!AC1097</f>
        <v>7.0999999999999994E-2</v>
      </c>
      <c r="H26" s="54"/>
      <c r="I26" s="54"/>
      <c r="J26" s="54"/>
      <c r="K26" s="54"/>
      <c r="L26" s="270"/>
    </row>
    <row r="27" spans="1:13" x14ac:dyDescent="0.3">
      <c r="A27" s="13" t="s">
        <v>1553</v>
      </c>
      <c r="B27" s="16">
        <f>'Ref. ACS-5-YR'!H1098</f>
        <v>741</v>
      </c>
      <c r="C27" s="55">
        <f>'Ref. ACS-5-YR'!I1098</f>
        <v>3.9598140330251698E-2</v>
      </c>
      <c r="D27" s="16">
        <f>'Ref. ACS-5-YR'!R1098</f>
        <v>965</v>
      </c>
      <c r="E27" s="55">
        <f>'Ref. ACS-5-YR'!S1098</f>
        <v>1.9116481774960382E-2</v>
      </c>
      <c r="F27" s="16">
        <f>'Ref. ACS-5-YR'!AB1098</f>
        <v>339846</v>
      </c>
      <c r="G27" s="55">
        <f>'Ref. ACS-5-YR'!AC1098</f>
        <v>2.4E-2</v>
      </c>
      <c r="H27" s="54"/>
      <c r="I27" s="54"/>
      <c r="J27" s="54"/>
      <c r="K27" s="54"/>
      <c r="L27" s="270"/>
    </row>
    <row r="28" spans="1:13" x14ac:dyDescent="0.3">
      <c r="A28" s="13" t="s">
        <v>1554</v>
      </c>
      <c r="B28" s="16">
        <f>'Ref. ACS-5-YR'!H1099</f>
        <v>1364</v>
      </c>
      <c r="C28" s="55">
        <f>'Ref. ACS-5-YR'!I1099</f>
        <v>7.289050392775076E-2</v>
      </c>
      <c r="D28" s="16">
        <f>'Ref. ACS-5-YR'!R1099</f>
        <v>1885</v>
      </c>
      <c r="E28" s="55">
        <f>'Ref. ACS-5-YR'!S1099</f>
        <v>3.7341521394611728E-2</v>
      </c>
      <c r="F28" s="16">
        <f>'Ref. ACS-5-YR'!AB1099</f>
        <v>773994</v>
      </c>
      <c r="G28" s="55">
        <f>'Ref. ACS-5-YR'!AC1099</f>
        <v>5.3999999999999999E-2</v>
      </c>
      <c r="H28" s="54"/>
      <c r="I28" s="54"/>
      <c r="J28" s="54"/>
      <c r="K28" s="54"/>
      <c r="L28" s="270"/>
    </row>
    <row r="29" spans="1:13" x14ac:dyDescent="0.3">
      <c r="A29" s="13" t="s">
        <v>1555</v>
      </c>
      <c r="B29" s="16">
        <f>'Ref. ACS-5-YR'!H1100</f>
        <v>859</v>
      </c>
      <c r="C29" s="55">
        <f>'Ref. ACS-5-YR'!I1100</f>
        <v>4.5903917063004326E-2</v>
      </c>
      <c r="D29" s="16">
        <f>'Ref. ACS-5-YR'!R1100</f>
        <v>1205</v>
      </c>
      <c r="E29" s="55">
        <f>'Ref. ACS-5-YR'!S1100</f>
        <v>2.3870839936608559E-2</v>
      </c>
      <c r="F29" s="16">
        <f>'Ref. ACS-5-YR'!AB1100</f>
        <v>840296</v>
      </c>
      <c r="G29" s="55">
        <f>'Ref. ACS-5-YR'!AC1100</f>
        <v>5.8999999999999997E-2</v>
      </c>
      <c r="H29" s="54"/>
      <c r="I29" s="54"/>
      <c r="J29" s="54"/>
      <c r="K29" s="54"/>
      <c r="L29" s="270"/>
    </row>
    <row r="30" spans="1:13" x14ac:dyDescent="0.3">
      <c r="A30" s="13" t="s">
        <v>1556</v>
      </c>
      <c r="B30" s="16">
        <f>'Ref. ACS-5-YR'!H1101</f>
        <v>534</v>
      </c>
      <c r="C30" s="55">
        <f>'Ref. ACS-5-YR'!I1101</f>
        <v>2.8536311654999199E-2</v>
      </c>
      <c r="D30" s="16">
        <f>'Ref. ACS-5-YR'!R1101</f>
        <v>622</v>
      </c>
      <c r="E30" s="55">
        <f>'Ref. ACS-5-YR'!S1101</f>
        <v>1.2321711568938193E-2</v>
      </c>
      <c r="F30" s="16">
        <f>'Ref. ACS-5-YR'!AB1101</f>
        <v>721132</v>
      </c>
      <c r="G30" s="55">
        <f>'Ref. ACS-5-YR'!AC1101</f>
        <v>5.0999999999999997E-2</v>
      </c>
      <c r="H30" s="54"/>
      <c r="I30" s="54"/>
      <c r="J30" s="54"/>
      <c r="K30" s="54"/>
      <c r="L30" s="270"/>
    </row>
    <row r="31" spans="1:13" x14ac:dyDescent="0.3">
      <c r="A31" s="13" t="s">
        <v>1557</v>
      </c>
      <c r="B31" s="16">
        <f>'Ref. ACS-5-YR'!H1102</f>
        <v>481</v>
      </c>
      <c r="C31" s="55">
        <f>'Ref. ACS-5-YR'!I1102</f>
        <v>2.5704056003847592E-2</v>
      </c>
      <c r="D31" s="16">
        <f>'Ref. ACS-5-YR'!R1102</f>
        <v>626</v>
      </c>
      <c r="E31" s="55">
        <f>'Ref. ACS-5-YR'!S1102</f>
        <v>1.240095087163233E-2</v>
      </c>
      <c r="F31" s="16">
        <f>'Ref. ACS-5-YR'!AB1102</f>
        <v>705450</v>
      </c>
      <c r="G31" s="55">
        <f>'Ref. ACS-5-YR'!AC1102</f>
        <v>0.05</v>
      </c>
      <c r="H31" s="54"/>
      <c r="I31" s="54"/>
      <c r="J31" s="54"/>
      <c r="K31" s="54"/>
      <c r="L31" s="270"/>
    </row>
    <row r="32" spans="1:13" x14ac:dyDescent="0.3">
      <c r="A32" s="13" t="s">
        <v>1558</v>
      </c>
      <c r="B32" s="16">
        <f>'Ref. ACS-5-YR'!H1103</f>
        <v>312</v>
      </c>
      <c r="C32" s="55">
        <f>'Ref. ACS-5-YR'!I1103</f>
        <v>1.6672901191684925E-2</v>
      </c>
      <c r="D32" s="16">
        <f>'Ref. ACS-5-YR'!R1103</f>
        <v>350</v>
      </c>
      <c r="E32" s="55">
        <f>'Ref. ACS-5-YR'!S1103</f>
        <v>6.9334389857369253E-3</v>
      </c>
      <c r="F32" s="16">
        <f>'Ref. ACS-5-YR'!AB1103</f>
        <v>1083247</v>
      </c>
      <c r="G32" s="55">
        <f>'Ref. ACS-5-YR'!AC1103</f>
        <v>7.5999999999999998E-2</v>
      </c>
      <c r="H32" s="54"/>
      <c r="I32" s="54"/>
      <c r="J32" s="54"/>
      <c r="K32" s="54"/>
      <c r="L32" s="270"/>
    </row>
    <row r="33" spans="1:12" x14ac:dyDescent="0.3">
      <c r="A33" s="13" t="s">
        <v>1559</v>
      </c>
      <c r="B33" s="16">
        <f>'Ref. ACS-5-YR'!H1104</f>
        <v>211</v>
      </c>
      <c r="C33" s="55">
        <f>'Ref. ACS-5-YR'!I1104</f>
        <v>1.1275583818735639E-2</v>
      </c>
      <c r="D33" s="16">
        <f>'Ref. ACS-5-YR'!R1104</f>
        <v>3240</v>
      </c>
      <c r="E33" s="55">
        <f>'Ref. ACS-5-YR'!S1104</f>
        <v>6.418383518225039E-2</v>
      </c>
      <c r="F33" s="16">
        <f>'Ref. ACS-5-YR'!AB1104</f>
        <v>515666</v>
      </c>
      <c r="G33" s="55">
        <f>'Ref. ACS-5-YR'!AC1104</f>
        <v>3.5999999999999997E-2</v>
      </c>
      <c r="H33" s="54"/>
      <c r="I33" s="54"/>
      <c r="J33" s="54"/>
      <c r="K33" s="54"/>
      <c r="L33" s="270"/>
    </row>
    <row r="34" spans="1:12" x14ac:dyDescent="0.3">
      <c r="A34" s="13" t="s">
        <v>1560</v>
      </c>
      <c r="B34" s="16">
        <f>'Ref. ACS-5-YR'!H1105</f>
        <v>0</v>
      </c>
      <c r="C34" s="55">
        <f>'Ref. ACS-5-YR'!I1105</f>
        <v>0</v>
      </c>
      <c r="D34" s="16">
        <f>'Ref. ACS-5-YR'!R1105</f>
        <v>112</v>
      </c>
      <c r="E34" s="55">
        <f>'Ref. ACS-5-YR'!S1105</f>
        <v>2.2187004754358162E-3</v>
      </c>
      <c r="F34" s="16">
        <f>'Ref. ACS-5-YR'!AB1105</f>
        <v>15205</v>
      </c>
      <c r="G34" s="55">
        <f>'Ref. ACS-5-YR'!AC1105</f>
        <v>1E-3</v>
      </c>
      <c r="H34" s="54"/>
      <c r="I34" s="54"/>
      <c r="J34" s="54"/>
      <c r="K34" s="54"/>
      <c r="L34" s="270"/>
    </row>
    <row r="35" spans="1:12" x14ac:dyDescent="0.3">
      <c r="A35" t="s">
        <v>1561</v>
      </c>
    </row>
    <row r="47" spans="1:12" x14ac:dyDescent="0.3">
      <c r="A47" s="1" t="s">
        <v>1562</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17598</v>
      </c>
      <c r="C49" s="55"/>
      <c r="D49" s="16">
        <f>'Ref. ACS-5-YR'!E1095</f>
        <v>17894</v>
      </c>
      <c r="E49" s="55"/>
      <c r="F49" s="16">
        <f>'Ref. ACS-5-YR'!H1095</f>
        <v>18713</v>
      </c>
      <c r="G49" s="55"/>
      <c r="H49" s="54"/>
      <c r="I49" s="54"/>
      <c r="J49" s="54"/>
      <c r="K49" s="54"/>
      <c r="L49" s="270"/>
    </row>
    <row r="50" spans="1:13" x14ac:dyDescent="0.3">
      <c r="A50" s="13" t="s">
        <v>1551</v>
      </c>
      <c r="B50" s="16">
        <f>'Ref. ACS-5-YR'!B1096</f>
        <v>12609</v>
      </c>
      <c r="C50" s="55">
        <f>'Ref. ACS-5-YR'!C1096</f>
        <v>0.71650187521309239</v>
      </c>
      <c r="D50" s="16">
        <f>'Ref. ACS-5-YR'!E1096</f>
        <v>12769</v>
      </c>
      <c r="E50" s="55">
        <f>'Ref. ACS-5-YR'!F1096</f>
        <v>0.7135911478707947</v>
      </c>
      <c r="F50" s="16">
        <f>'Ref. ACS-5-YR'!H1096</f>
        <v>13861</v>
      </c>
      <c r="G50" s="55">
        <f>'Ref. ACS-5-YR'!I1096</f>
        <v>0.74071501095495107</v>
      </c>
      <c r="H50" s="54"/>
      <c r="I50" s="54"/>
      <c r="J50" s="54"/>
      <c r="K50" s="54"/>
      <c r="L50" s="270"/>
      <c r="M50" s="42" t="str">
        <f>A35</f>
        <v>Source: U.S. Census Bureau, ACS 16-20 (5-year Estimates), Table B25024</v>
      </c>
    </row>
    <row r="51" spans="1:13" x14ac:dyDescent="0.3">
      <c r="A51" s="13" t="s">
        <v>1552</v>
      </c>
      <c r="B51" s="16">
        <f>'Ref. ACS-5-YR'!B1097</f>
        <v>334</v>
      </c>
      <c r="C51" s="55">
        <f>'Ref. ACS-5-YR'!C1097</f>
        <v>1.8979429480622798E-2</v>
      </c>
      <c r="D51" s="16">
        <f>'Ref. ACS-5-YR'!E1097</f>
        <v>511</v>
      </c>
      <c r="E51" s="55">
        <f>'Ref. ACS-5-YR'!F1097</f>
        <v>2.8557058231809544E-2</v>
      </c>
      <c r="F51" s="16">
        <f>'Ref. ACS-5-YR'!H1097</f>
        <v>350</v>
      </c>
      <c r="G51" s="55">
        <f>'Ref. ACS-5-YR'!I1097</f>
        <v>1.8703575054774754E-2</v>
      </c>
      <c r="H51" s="54"/>
      <c r="I51" s="54"/>
      <c r="J51" s="54"/>
      <c r="K51" s="54"/>
      <c r="L51" s="270"/>
    </row>
    <row r="52" spans="1:13" x14ac:dyDescent="0.3">
      <c r="A52" s="13" t="s">
        <v>1553</v>
      </c>
      <c r="B52" s="16">
        <f>'Ref. ACS-5-YR'!B1098</f>
        <v>687</v>
      </c>
      <c r="C52" s="55">
        <f>'Ref. ACS-5-YR'!C1098</f>
        <v>3.9038527105352883E-2</v>
      </c>
      <c r="D52" s="16">
        <f>'Ref. ACS-5-YR'!E1098</f>
        <v>648</v>
      </c>
      <c r="E52" s="55">
        <f>'Ref. ACS-5-YR'!F1098</f>
        <v>3.6213255839946348E-2</v>
      </c>
      <c r="F52" s="16">
        <f>'Ref. ACS-5-YR'!H1098</f>
        <v>741</v>
      </c>
      <c r="G52" s="55">
        <f>'Ref. ACS-5-YR'!I1098</f>
        <v>3.9598140330251698E-2</v>
      </c>
      <c r="H52" s="54"/>
      <c r="I52" s="54"/>
      <c r="J52" s="54"/>
      <c r="K52" s="54"/>
      <c r="L52" s="270"/>
    </row>
    <row r="53" spans="1:13" x14ac:dyDescent="0.3">
      <c r="A53" s="13" t="s">
        <v>1554</v>
      </c>
      <c r="B53" s="16">
        <f>'Ref. ACS-5-YR'!B1099</f>
        <v>1550</v>
      </c>
      <c r="C53" s="55">
        <f>'Ref. ACS-5-YR'!C1099</f>
        <v>8.8078190703489032E-2</v>
      </c>
      <c r="D53" s="16">
        <f>'Ref. ACS-5-YR'!E1099</f>
        <v>2063</v>
      </c>
      <c r="E53" s="55">
        <f>'Ref. ACS-5-YR'!F1099</f>
        <v>0.11529004135464402</v>
      </c>
      <c r="F53" s="16">
        <f>'Ref. ACS-5-YR'!H1099</f>
        <v>1364</v>
      </c>
      <c r="G53" s="55">
        <f>'Ref. ACS-5-YR'!I1099</f>
        <v>7.289050392775076E-2</v>
      </c>
      <c r="H53" s="54"/>
      <c r="I53" s="54"/>
      <c r="J53" s="54"/>
      <c r="K53" s="54"/>
      <c r="L53" s="270"/>
    </row>
    <row r="54" spans="1:13" x14ac:dyDescent="0.3">
      <c r="A54" s="13" t="s">
        <v>1555</v>
      </c>
      <c r="B54" s="16">
        <f>'Ref. ACS-5-YR'!B1100</f>
        <v>954</v>
      </c>
      <c r="C54" s="55">
        <f>'Ref. ACS-5-YR'!C1100</f>
        <v>5.4210705762018412E-2</v>
      </c>
      <c r="D54" s="16">
        <f>'Ref. ACS-5-YR'!E1100</f>
        <v>707</v>
      </c>
      <c r="E54" s="55">
        <f>'Ref. ACS-5-YR'!F1100</f>
        <v>3.9510450430311837E-2</v>
      </c>
      <c r="F54" s="16">
        <f>'Ref. ACS-5-YR'!H1100</f>
        <v>859</v>
      </c>
      <c r="G54" s="55">
        <f>'Ref. ACS-5-YR'!I1100</f>
        <v>4.5903917063004326E-2</v>
      </c>
      <c r="H54" s="54"/>
      <c r="I54" s="54"/>
      <c r="J54" s="54"/>
      <c r="K54" s="54"/>
      <c r="L54" s="270"/>
    </row>
    <row r="55" spans="1:13" x14ac:dyDescent="0.3">
      <c r="A55" s="13" t="s">
        <v>1556</v>
      </c>
      <c r="B55" s="16">
        <f>'Ref. ACS-5-YR'!B1101</f>
        <v>230</v>
      </c>
      <c r="C55" s="55">
        <f>'Ref. ACS-5-YR'!C1101</f>
        <v>1.3069667007614501E-2</v>
      </c>
      <c r="D55" s="16">
        <f>'Ref. ACS-5-YR'!E1101</f>
        <v>200</v>
      </c>
      <c r="E55" s="55">
        <f>'Ref. ACS-5-YR'!F1101</f>
        <v>1.1176930814798256E-2</v>
      </c>
      <c r="F55" s="16">
        <f>'Ref. ACS-5-YR'!H1101</f>
        <v>534</v>
      </c>
      <c r="G55" s="55">
        <f>'Ref. ACS-5-YR'!I1101</f>
        <v>2.8536311654999199E-2</v>
      </c>
      <c r="H55" s="54"/>
      <c r="I55" s="54"/>
      <c r="J55" s="54"/>
      <c r="K55" s="54"/>
      <c r="L55" s="270"/>
    </row>
    <row r="56" spans="1:13" x14ac:dyDescent="0.3">
      <c r="A56" s="13" t="s">
        <v>1557</v>
      </c>
      <c r="B56" s="16">
        <f>'Ref. ACS-5-YR'!B1102</f>
        <v>197</v>
      </c>
      <c r="C56" s="55">
        <f>'Ref. ACS-5-YR'!C1102</f>
        <v>1.1194453915217638E-2</v>
      </c>
      <c r="D56" s="16">
        <f>'Ref. ACS-5-YR'!E1102</f>
        <v>139</v>
      </c>
      <c r="E56" s="55">
        <f>'Ref. ACS-5-YR'!F1102</f>
        <v>7.7679669162847879E-3</v>
      </c>
      <c r="F56" s="16">
        <f>'Ref. ACS-5-YR'!H1102</f>
        <v>481</v>
      </c>
      <c r="G56" s="55">
        <f>'Ref. ACS-5-YR'!I1102</f>
        <v>2.5704056003847592E-2</v>
      </c>
      <c r="H56" s="54"/>
      <c r="I56" s="54"/>
      <c r="J56" s="54"/>
      <c r="K56" s="54"/>
      <c r="L56" s="270"/>
    </row>
    <row r="57" spans="1:13" x14ac:dyDescent="0.3">
      <c r="A57" s="13" t="s">
        <v>1558</v>
      </c>
      <c r="B57" s="16">
        <f>'Ref. ACS-5-YR'!B1103</f>
        <v>574</v>
      </c>
      <c r="C57" s="55">
        <f>'Ref. ACS-5-YR'!C1103</f>
        <v>3.261734287987271E-2</v>
      </c>
      <c r="D57" s="16">
        <f>'Ref. ACS-5-YR'!E1103</f>
        <v>519</v>
      </c>
      <c r="E57" s="55">
        <f>'Ref. ACS-5-YR'!F1103</f>
        <v>2.9004135464401476E-2</v>
      </c>
      <c r="F57" s="16">
        <f>'Ref. ACS-5-YR'!H1103</f>
        <v>312</v>
      </c>
      <c r="G57" s="55">
        <f>'Ref. ACS-5-YR'!I1103</f>
        <v>1.6672901191684925E-2</v>
      </c>
      <c r="H57" s="54"/>
      <c r="I57" s="54"/>
      <c r="J57" s="54"/>
      <c r="K57" s="54"/>
      <c r="L57" s="270"/>
      <c r="M57" s="61" t="s">
        <v>1563</v>
      </c>
    </row>
    <row r="58" spans="1:13" x14ac:dyDescent="0.3">
      <c r="A58" s="13" t="s">
        <v>1559</v>
      </c>
      <c r="B58" s="16">
        <f>'Ref. ACS-5-YR'!B1104</f>
        <v>347</v>
      </c>
      <c r="C58" s="55">
        <f>'Ref. ACS-5-YR'!C1104</f>
        <v>1.9718149789748837E-2</v>
      </c>
      <c r="D58" s="16">
        <f>'Ref. ACS-5-YR'!E1104</f>
        <v>322</v>
      </c>
      <c r="E58" s="55">
        <f>'Ref. ACS-5-YR'!F1104</f>
        <v>1.7994858611825194E-2</v>
      </c>
      <c r="F58" s="16">
        <f>'Ref. ACS-5-YR'!H1104</f>
        <v>211</v>
      </c>
      <c r="G58" s="55">
        <f>'Ref. ACS-5-YR'!I1104</f>
        <v>1.1275583818735639E-2</v>
      </c>
      <c r="H58" s="54"/>
      <c r="I58" s="54"/>
      <c r="J58" s="54"/>
      <c r="K58" s="54"/>
      <c r="L58" s="270"/>
    </row>
    <row r="59" spans="1:13" x14ac:dyDescent="0.3">
      <c r="A59" s="13" t="s">
        <v>1560</v>
      </c>
      <c r="B59" s="16">
        <f>'Ref. ACS-5-YR'!B1105</f>
        <v>116</v>
      </c>
      <c r="C59" s="55">
        <f>'Ref. ACS-5-YR'!C1105</f>
        <v>6.5916581429707926E-3</v>
      </c>
      <c r="D59" s="16">
        <f>'Ref. ACS-5-YR'!E1105</f>
        <v>16</v>
      </c>
      <c r="E59" s="55">
        <f>'Ref. ACS-5-YR'!F1105</f>
        <v>8.9415446518386048E-4</v>
      </c>
      <c r="F59" s="16">
        <f>'Ref. ACS-5-YR'!H1105</f>
        <v>0</v>
      </c>
      <c r="G59" s="55">
        <f>'Ref. ACS-5-YR'!I1105</f>
        <v>0</v>
      </c>
      <c r="H59" s="54"/>
      <c r="I59" s="54"/>
      <c r="J59" s="54"/>
      <c r="K59" s="54"/>
      <c r="L59" s="270"/>
    </row>
    <row r="60" spans="1:13" x14ac:dyDescent="0.3">
      <c r="A60" t="s">
        <v>1564</v>
      </c>
    </row>
    <row r="63" spans="1:13" x14ac:dyDescent="0.3">
      <c r="A63" s="1" t="s">
        <v>1565</v>
      </c>
    </row>
    <row r="64" spans="1:13" x14ac:dyDescent="0.3">
      <c r="A64" s="80"/>
      <c r="B64" s="90">
        <v>2010</v>
      </c>
      <c r="C64" s="51" t="s">
        <v>1566</v>
      </c>
      <c r="D64" s="90">
        <v>2015</v>
      </c>
      <c r="E64" s="51" t="s">
        <v>1566</v>
      </c>
      <c r="F64" s="90">
        <v>2020</v>
      </c>
      <c r="G64" s="51" t="s">
        <v>1566</v>
      </c>
      <c r="H64" s="52"/>
      <c r="I64" s="52"/>
      <c r="J64" s="52"/>
      <c r="K64" s="52"/>
      <c r="L64" s="269"/>
    </row>
    <row r="65" spans="1:13" x14ac:dyDescent="0.3">
      <c r="A65" s="13" t="s">
        <v>174</v>
      </c>
      <c r="B65" s="16">
        <f>'Ref. ACS-5-YR'!B1135</f>
        <v>17598</v>
      </c>
      <c r="C65" s="55"/>
      <c r="D65" s="16">
        <f>'Ref. ACS-5-YR'!E1135</f>
        <v>17894</v>
      </c>
      <c r="E65" s="55"/>
      <c r="F65" s="16">
        <f>'Ref. ACS-5-YR'!H1135</f>
        <v>18713</v>
      </c>
      <c r="G65" s="55"/>
      <c r="H65" s="54"/>
      <c r="I65" s="54"/>
      <c r="J65" s="54"/>
      <c r="K65" s="54"/>
      <c r="L65" s="270"/>
    </row>
    <row r="66" spans="1:13" x14ac:dyDescent="0.3">
      <c r="A66" s="13" t="s">
        <v>1567</v>
      </c>
      <c r="B66" s="16">
        <f>'Ref. ACS-5-YR'!B1136</f>
        <v>813</v>
      </c>
      <c r="C66" s="55">
        <f>'Ref. ACS-5-YR'!C1136</f>
        <v>4.6198431639959084E-2</v>
      </c>
      <c r="D66" s="16">
        <f>'Ref. ACS-5-YR'!E1136</f>
        <v>301</v>
      </c>
      <c r="E66" s="55">
        <f>'Ref. ACS-5-YR'!F1136</f>
        <v>1.6821280876271376E-2</v>
      </c>
      <c r="F66" s="16">
        <f>'Ref. ACS-5-YR'!H1136</f>
        <v>762</v>
      </c>
      <c r="G66" s="55">
        <f>'Ref. ACS-5-YR'!I1136</f>
        <v>4.0720354833538183E-2</v>
      </c>
      <c r="H66" s="54"/>
      <c r="I66" s="54"/>
      <c r="J66" s="54"/>
      <c r="K66" s="54"/>
      <c r="L66" s="270"/>
    </row>
    <row r="67" spans="1:13" x14ac:dyDescent="0.3">
      <c r="A67" s="13" t="s">
        <v>1568</v>
      </c>
      <c r="B67" s="16">
        <f>'Ref. ACS-5-YR'!B1137</f>
        <v>1049</v>
      </c>
      <c r="C67" s="55">
        <f>'Ref. ACS-5-YR'!C1137</f>
        <v>5.9609046482554835E-2</v>
      </c>
      <c r="D67" s="16">
        <f>'Ref. ACS-5-YR'!E1137</f>
        <v>1270</v>
      </c>
      <c r="E67" s="55">
        <f>'Ref. ACS-5-YR'!F1137</f>
        <v>7.0973510673968926E-2</v>
      </c>
      <c r="F67" s="16">
        <f>'Ref. ACS-5-YR'!H1137</f>
        <v>1168</v>
      </c>
      <c r="G67" s="55">
        <f>'Ref. ACS-5-YR'!I1137</f>
        <v>6.2416501897076898E-2</v>
      </c>
      <c r="H67" s="54"/>
      <c r="I67" s="54"/>
      <c r="J67" s="54"/>
      <c r="K67" s="54"/>
      <c r="L67" s="270"/>
    </row>
    <row r="68" spans="1:13" x14ac:dyDescent="0.3">
      <c r="A68" s="13" t="s">
        <v>1569</v>
      </c>
      <c r="B68" s="16">
        <f>'Ref. ACS-5-YR'!B1138</f>
        <v>4095</v>
      </c>
      <c r="C68" s="55">
        <f>'Ref. ACS-5-YR'!C1138</f>
        <v>0.23269689737470167</v>
      </c>
      <c r="D68" s="16">
        <f>'Ref. ACS-5-YR'!E1138</f>
        <v>4453</v>
      </c>
      <c r="E68" s="55">
        <f>'Ref. ACS-5-YR'!F1138</f>
        <v>0.24885436459148319</v>
      </c>
      <c r="F68" s="16">
        <f>'Ref. ACS-5-YR'!H1138</f>
        <v>3816</v>
      </c>
      <c r="G68" s="55">
        <f>'Ref. ACS-5-YR'!I1138</f>
        <v>0.20392240688291563</v>
      </c>
      <c r="H68" s="54"/>
      <c r="I68" s="54"/>
      <c r="J68" s="54"/>
      <c r="K68" s="54"/>
      <c r="L68" s="270"/>
    </row>
    <row r="69" spans="1:13" x14ac:dyDescent="0.3">
      <c r="A69" s="13" t="s">
        <v>1570</v>
      </c>
      <c r="B69" s="16">
        <f>'Ref. ACS-5-YR'!B1139</f>
        <v>8110</v>
      </c>
      <c r="C69" s="55">
        <f>'Ref. ACS-5-YR'!C1139</f>
        <v>0.46084782361632004</v>
      </c>
      <c r="D69" s="16">
        <f>'Ref. ACS-5-YR'!E1139</f>
        <v>8492</v>
      </c>
      <c r="E69" s="55">
        <f>'Ref. ACS-5-YR'!F1139</f>
        <v>0.47457248239633398</v>
      </c>
      <c r="F69" s="16">
        <f>'Ref. ACS-5-YR'!H1139</f>
        <v>7863</v>
      </c>
      <c r="G69" s="55">
        <f>'Ref. ACS-5-YR'!I1139</f>
        <v>0.42018917330198258</v>
      </c>
      <c r="H69" s="54"/>
      <c r="I69" s="54"/>
      <c r="J69" s="54"/>
      <c r="K69" s="54"/>
      <c r="L69" s="270"/>
    </row>
    <row r="70" spans="1:13" x14ac:dyDescent="0.3">
      <c r="A70" s="13" t="s">
        <v>1571</v>
      </c>
      <c r="B70" s="16">
        <f>'Ref. ACS-5-YR'!B1140</f>
        <v>3037</v>
      </c>
      <c r="C70" s="55">
        <f>'Ref. ACS-5-YR'!C1140</f>
        <v>0.17257642913967497</v>
      </c>
      <c r="D70" s="16">
        <f>'Ref. ACS-5-YR'!E1140</f>
        <v>3020</v>
      </c>
      <c r="E70" s="55">
        <f>'Ref. ACS-5-YR'!F1140</f>
        <v>0.16877165530345367</v>
      </c>
      <c r="F70" s="16">
        <f>'Ref. ACS-5-YR'!H1140</f>
        <v>4656</v>
      </c>
      <c r="G70" s="55">
        <f>'Ref. ACS-5-YR'!I1140</f>
        <v>0.24881098701437504</v>
      </c>
      <c r="H70" s="54"/>
      <c r="I70" s="54"/>
      <c r="J70" s="54"/>
      <c r="K70" s="54"/>
      <c r="L70" s="270"/>
    </row>
    <row r="71" spans="1:13" x14ac:dyDescent="0.3">
      <c r="A71" s="13" t="s">
        <v>1572</v>
      </c>
      <c r="B71" s="16">
        <f>'Ref. ACS-5-YR'!B1141</f>
        <v>494</v>
      </c>
      <c r="C71" s="55">
        <f>'Ref. ACS-5-YR'!C1141</f>
        <v>2.8071371746789409E-2</v>
      </c>
      <c r="D71" s="16">
        <f>'Ref. ACS-5-YR'!E1141</f>
        <v>358</v>
      </c>
      <c r="E71" s="55">
        <f>'Ref. ACS-5-YR'!F1141</f>
        <v>2.0006706158488877E-2</v>
      </c>
      <c r="F71" s="16">
        <f>'Ref. ACS-5-YR'!H1141</f>
        <v>448</v>
      </c>
      <c r="G71" s="55">
        <f>'Ref. ACS-5-YR'!I1141</f>
        <v>2.3940576070111685E-2</v>
      </c>
      <c r="H71" s="54"/>
      <c r="I71" s="54"/>
      <c r="J71" s="54"/>
      <c r="K71" s="54"/>
      <c r="L71" s="270"/>
    </row>
    <row r="72" spans="1:13" x14ac:dyDescent="0.3">
      <c r="A72" t="s">
        <v>1573</v>
      </c>
      <c r="M72" s="42" t="str">
        <f>A72</f>
        <v>Source: U.S. Census Bureau, ACS 06-10, 11-15, 16-20 (5-year Estimates), Table B25041</v>
      </c>
    </row>
    <row r="75" spans="1:13" x14ac:dyDescent="0.3">
      <c r="A75" s="1" t="s">
        <v>1574</v>
      </c>
      <c r="M75" s="61" t="s">
        <v>1575</v>
      </c>
    </row>
    <row r="76" spans="1:13" ht="32.4" customHeight="1" x14ac:dyDescent="0.3">
      <c r="A76" s="80"/>
      <c r="B76" s="60" t="str">
        <f>B3</f>
        <v>City of Madera</v>
      </c>
      <c r="C76" s="60" t="s">
        <v>179</v>
      </c>
      <c r="D76" s="60" t="str">
        <f>B4</f>
        <v>Madera County</v>
      </c>
      <c r="E76" s="60" t="s">
        <v>179</v>
      </c>
      <c r="F76" s="60" t="s">
        <v>173</v>
      </c>
      <c r="G76" s="60" t="s">
        <v>179</v>
      </c>
      <c r="H76" s="82"/>
      <c r="I76" s="58"/>
      <c r="J76" s="58"/>
      <c r="K76" s="58"/>
      <c r="L76" s="271"/>
    </row>
    <row r="77" spans="1:13" x14ac:dyDescent="0.3">
      <c r="A77" s="13" t="s">
        <v>180</v>
      </c>
      <c r="B77" s="16">
        <f>'Ref. ACS-5-YR'!H1551</f>
        <v>17598</v>
      </c>
      <c r="C77" s="55"/>
      <c r="D77" s="16">
        <f>'Ref. ACS-5-YR'!R1551</f>
        <v>44479</v>
      </c>
      <c r="E77" s="55"/>
      <c r="F77" s="16">
        <f>'Ref. ACS-5-YR'!AB1551</f>
        <v>13103114</v>
      </c>
      <c r="G77" s="55"/>
      <c r="H77" s="54"/>
      <c r="I77" s="54"/>
      <c r="J77" s="54"/>
      <c r="K77" s="54"/>
      <c r="L77" s="270"/>
    </row>
    <row r="78" spans="1:13" x14ac:dyDescent="0.3">
      <c r="A78" s="13" t="s">
        <v>1576</v>
      </c>
      <c r="B78" s="16">
        <f>'Ref. ACS-5-YR'!H1553+'Ref. ACS-5-YR'!H1564</f>
        <v>796</v>
      </c>
      <c r="C78" s="55">
        <f>'Ref. ACS-5-YR'!I1553+'Ref. ACS-5-YR'!I1564</f>
        <v>4.5232412774178887E-2</v>
      </c>
      <c r="D78" s="16">
        <f>'Ref. ACS-5-YR'!R1553+'Ref. ACS-5-YR'!R1564</f>
        <v>1423</v>
      </c>
      <c r="E78" s="55">
        <f>'Ref. ACS-5-YR'!I1553+'Ref. ACS-5-YR'!I1564</f>
        <v>4.5232412774178887E-2</v>
      </c>
      <c r="F78" s="16">
        <f>'Ref. ACS-5-YR'!AB1553+'Ref. ACS-5-YR'!AB1564</f>
        <v>294667</v>
      </c>
      <c r="G78" s="55">
        <f>'Ref. ACS-5-YR'!AC1553+'Ref. ACS-5-YR'!AC1564</f>
        <v>2.1999999999999999E-2</v>
      </c>
      <c r="H78" s="54"/>
      <c r="I78" s="54"/>
      <c r="J78" s="54"/>
      <c r="K78" s="54"/>
      <c r="L78" s="270"/>
    </row>
    <row r="79" spans="1:13" x14ac:dyDescent="0.3">
      <c r="A79" s="13" t="s">
        <v>1577</v>
      </c>
      <c r="B79" s="16">
        <f>'Ref. ACS-5-YR'!H1554+'Ref. ACS-5-YR'!H1565</f>
        <v>919</v>
      </c>
      <c r="C79" s="55">
        <f>'Ref. ACS-5-YR'!I1554+'Ref. ACS-5-YR'!I1565</f>
        <v>5.2221843391294466E-2</v>
      </c>
      <c r="D79" s="16">
        <f>'Ref. ACS-5-YR'!R1554+'Ref. ACS-5-YR'!R1565</f>
        <v>1212</v>
      </c>
      <c r="E79" s="55">
        <f>'Ref. ACS-5-YR'!I1554+'Ref. ACS-5-YR'!I1565</f>
        <v>5.2221843391294466E-2</v>
      </c>
      <c r="F79" s="16">
        <f>'Ref. ACS-5-YR'!AB1554+'Ref. ACS-5-YR'!AB1565</f>
        <v>234646</v>
      </c>
      <c r="G79" s="55">
        <f>'Ref. ACS-5-YR'!AC1554+'Ref. ACS-5-YR'!AC1565</f>
        <v>1.7999999999999999E-2</v>
      </c>
      <c r="H79" s="54"/>
      <c r="I79" s="54"/>
      <c r="J79" s="54"/>
      <c r="K79" s="54"/>
      <c r="L79" s="270"/>
    </row>
    <row r="80" spans="1:13" x14ac:dyDescent="0.3">
      <c r="A80" s="13" t="s">
        <v>1578</v>
      </c>
      <c r="B80" s="16">
        <f>'Ref. ACS-5-YR'!H1555+'Ref. ACS-5-YR'!H1566</f>
        <v>4460</v>
      </c>
      <c r="C80" s="55">
        <f>'Ref. ACS-5-YR'!I1555+'Ref. ACS-5-YR'!I1566</f>
        <v>0.25343789066939426</v>
      </c>
      <c r="D80" s="16">
        <f>'Ref. ACS-5-YR'!R1555+'Ref. ACS-5-YR'!R1566</f>
        <v>9996</v>
      </c>
      <c r="E80" s="55">
        <f>'Ref. ACS-5-YR'!I1555+'Ref. ACS-5-YR'!I1566</f>
        <v>0.25343789066939426</v>
      </c>
      <c r="F80" s="16">
        <f>'Ref. ACS-5-YR'!AB1555+'Ref. ACS-5-YR'!AB1566</f>
        <v>1432955</v>
      </c>
      <c r="G80" s="55">
        <f>'Ref. ACS-5-YR'!AC1555+'Ref. ACS-5-YR'!AC1566</f>
        <v>0.10999999999999999</v>
      </c>
      <c r="H80" s="54"/>
      <c r="I80" s="54"/>
      <c r="J80" s="54"/>
      <c r="K80" s="54"/>
      <c r="L80" s="270"/>
    </row>
    <row r="81" spans="1:13" x14ac:dyDescent="0.3">
      <c r="A81" s="13" t="s">
        <v>1579</v>
      </c>
      <c r="B81" s="16">
        <f>'Ref. ACS-5-YR'!H1556+'Ref. ACS-5-YR'!H1567</f>
        <v>3236</v>
      </c>
      <c r="C81" s="55">
        <f>'Ref. ACS-5-YR'!I1556+'Ref. ACS-5-YR'!I1567</f>
        <v>0.18388453233321966</v>
      </c>
      <c r="D81" s="16">
        <f>'Ref. ACS-5-YR'!R1556+'Ref. ACS-5-YR'!R1567</f>
        <v>7957</v>
      </c>
      <c r="E81" s="55">
        <f>'Ref. ACS-5-YR'!I1556+'Ref. ACS-5-YR'!I1567</f>
        <v>0.18388453233321966</v>
      </c>
      <c r="F81" s="16">
        <f>'Ref. ACS-5-YR'!AB1556+'Ref. ACS-5-YR'!AB1567</f>
        <v>1448367</v>
      </c>
      <c r="G81" s="55">
        <f>'Ref. ACS-5-YR'!AC1556+'Ref. ACS-5-YR'!AC1567</f>
        <v>0.111</v>
      </c>
      <c r="H81" s="54"/>
      <c r="I81" s="54"/>
      <c r="J81" s="54"/>
      <c r="K81" s="54"/>
      <c r="L81" s="270"/>
    </row>
    <row r="82" spans="1:13" x14ac:dyDescent="0.3">
      <c r="A82" s="13" t="s">
        <v>1580</v>
      </c>
      <c r="B82" s="16">
        <f>'Ref. ACS-5-YR'!H1557+'Ref. ACS-5-YR'!H1568</f>
        <v>2027</v>
      </c>
      <c r="C82" s="55">
        <f>'Ref. ACS-5-YR'!I1557+'Ref. ACS-5-YR'!I1568</f>
        <v>0.11518354358449825</v>
      </c>
      <c r="D82" s="16">
        <f>'Ref. ACS-5-YR'!R1557+'Ref. ACS-5-YR'!R1568</f>
        <v>6695</v>
      </c>
      <c r="E82" s="55">
        <f>'Ref. ACS-5-YR'!I1557+'Ref. ACS-5-YR'!I1568</f>
        <v>0.11518354358449825</v>
      </c>
      <c r="F82" s="16">
        <f>'Ref. ACS-5-YR'!AB1557+'Ref. ACS-5-YR'!AB1568</f>
        <v>1967306</v>
      </c>
      <c r="G82" s="55">
        <f>'Ref. ACS-5-YR'!AC1557+'Ref. ACS-5-YR'!AC1568</f>
        <v>0.15100000000000002</v>
      </c>
      <c r="H82" s="54"/>
      <c r="I82" s="54"/>
      <c r="J82" s="54"/>
      <c r="K82" s="54"/>
      <c r="L82" s="270"/>
    </row>
    <row r="83" spans="1:13" x14ac:dyDescent="0.3">
      <c r="A83" s="13" t="s">
        <v>1581</v>
      </c>
      <c r="B83" s="16">
        <f>'Ref. ACS-5-YR'!H1558+'Ref. ACS-5-YR'!H1569</f>
        <v>2748</v>
      </c>
      <c r="C83" s="55">
        <f>'Ref. ACS-5-YR'!I1558+'Ref. ACS-5-YR'!I1569</f>
        <v>0.15615410842141153</v>
      </c>
      <c r="D83" s="16">
        <f>'Ref. ACS-5-YR'!R1558+'Ref. ACS-5-YR'!R1569</f>
        <v>8340</v>
      </c>
      <c r="E83" s="55">
        <f>'Ref. ACS-5-YR'!I1558+'Ref. ACS-5-YR'!I1569</f>
        <v>0.15615410842141153</v>
      </c>
      <c r="F83" s="16">
        <f>'Ref. ACS-5-YR'!AB1558+'Ref. ACS-5-YR'!AB1569</f>
        <v>2290081</v>
      </c>
      <c r="G83" s="55">
        <f>'Ref. ACS-5-YR'!AC1558+'Ref. ACS-5-YR'!AC1569</f>
        <v>0.17499999999999999</v>
      </c>
      <c r="H83" s="54"/>
      <c r="I83" s="54"/>
      <c r="J83" s="54"/>
      <c r="K83" s="54"/>
      <c r="L83" s="270"/>
    </row>
    <row r="84" spans="1:13" x14ac:dyDescent="0.3">
      <c r="A84" s="13" t="s">
        <v>1582</v>
      </c>
      <c r="B84" s="16">
        <f>'Ref. ACS-5-YR'!H1559+'Ref. ACS-5-YR'!H1570</f>
        <v>780</v>
      </c>
      <c r="C84" s="55">
        <f>'Ref. ACS-5-YR'!I1559+'Ref. ACS-5-YR'!I1570</f>
        <v>4.4323218547562229E-2</v>
      </c>
      <c r="D84" s="16">
        <f>'Ref. ACS-5-YR'!R1559+'Ref. ACS-5-YR'!R1570</f>
        <v>2779</v>
      </c>
      <c r="E84" s="55">
        <f>'Ref. ACS-5-YR'!I1559+'Ref. ACS-5-YR'!I1570</f>
        <v>4.4323218547562229E-2</v>
      </c>
      <c r="F84" s="16">
        <f>'Ref. ACS-5-YR'!AB1559+'Ref. ACS-5-YR'!AB1570</f>
        <v>1740922</v>
      </c>
      <c r="G84" s="55">
        <f>'Ref. ACS-5-YR'!AC1559+'Ref. ACS-5-YR'!AC1570</f>
        <v>0.13300000000000001</v>
      </c>
      <c r="H84" s="54"/>
      <c r="I84" s="54"/>
      <c r="J84" s="54"/>
      <c r="K84" s="54"/>
      <c r="L84" s="270"/>
    </row>
    <row r="85" spans="1:13" x14ac:dyDescent="0.3">
      <c r="A85" s="13" t="s">
        <v>1583</v>
      </c>
      <c r="B85" s="16">
        <f>'Ref. ACS-5-YR'!H1560+'Ref. ACS-5-YR'!H1571</f>
        <v>1104</v>
      </c>
      <c r="C85" s="55">
        <f>'Ref. ACS-5-YR'!I1560+'Ref. ACS-5-YR'!I1571</f>
        <v>6.27344016365496E-2</v>
      </c>
      <c r="D85" s="16">
        <f>'Ref. ACS-5-YR'!R1560+'Ref. ACS-5-YR'!R1571</f>
        <v>2824</v>
      </c>
      <c r="E85" s="55">
        <f>'Ref. ACS-5-YR'!I1560+'Ref. ACS-5-YR'!I1571</f>
        <v>6.27344016365496E-2</v>
      </c>
      <c r="F85" s="16">
        <f>'Ref. ACS-5-YR'!AB1560+'Ref. ACS-5-YR'!AB1571</f>
        <v>1767353</v>
      </c>
      <c r="G85" s="55">
        <f>'Ref. ACS-5-YR'!AC1560+'Ref. ACS-5-YR'!AC1571</f>
        <v>0.13500000000000001</v>
      </c>
      <c r="H85" s="54"/>
      <c r="I85" s="54"/>
      <c r="J85" s="54"/>
      <c r="K85" s="54"/>
      <c r="L85" s="270"/>
    </row>
    <row r="86" spans="1:13" x14ac:dyDescent="0.3">
      <c r="A86" s="13" t="s">
        <v>1584</v>
      </c>
      <c r="B86" s="16">
        <f>'Ref. ACS-5-YR'!H1561+'Ref. ACS-5-YR'!H1572</f>
        <v>997</v>
      </c>
      <c r="C86" s="55">
        <f>'Ref. ACS-5-YR'!I1561+'Ref. ACS-5-YR'!I1572</f>
        <v>5.6654165246050686E-2</v>
      </c>
      <c r="D86" s="16">
        <f>'Ref. ACS-5-YR'!R1561+'Ref. ACS-5-YR'!R1572</f>
        <v>1910</v>
      </c>
      <c r="E86" s="55">
        <f>'Ref. ACS-5-YR'!I1561+'Ref. ACS-5-YR'!I1572</f>
        <v>5.6654165246050686E-2</v>
      </c>
      <c r="F86" s="16">
        <f>'Ref. ACS-5-YR'!AB1561+'Ref. ACS-5-YR'!AB1572</f>
        <v>763029</v>
      </c>
      <c r="G86" s="55">
        <f>'Ref. ACS-5-YR'!AC1561+'Ref. ACS-5-YR'!AC1572</f>
        <v>5.8000000000000003E-2</v>
      </c>
      <c r="H86" s="54"/>
      <c r="I86" s="54"/>
      <c r="J86" s="54"/>
      <c r="K86" s="54"/>
      <c r="L86" s="270"/>
    </row>
    <row r="87" spans="1:13" x14ac:dyDescent="0.3">
      <c r="A87" s="13" t="s">
        <v>1585</v>
      </c>
      <c r="B87" s="16">
        <f>'Ref. ACS-5-YR'!H1562+'Ref. ACS-5-YR'!H1573</f>
        <v>531</v>
      </c>
      <c r="C87" s="55">
        <f>'Ref. ACS-5-YR'!I1562+'Ref. ACS-5-YR'!I1573</f>
        <v>3.0173883395840435E-2</v>
      </c>
      <c r="D87" s="16">
        <f>'Ref. ACS-5-YR'!R1562+'Ref. ACS-5-YR'!R1573</f>
        <v>1343</v>
      </c>
      <c r="E87" s="55">
        <f>'Ref. ACS-5-YR'!I1562+'Ref. ACS-5-YR'!I1573</f>
        <v>3.0173883395840435E-2</v>
      </c>
      <c r="F87" s="16">
        <f>'Ref. ACS-5-YR'!AB1562+'Ref. ACS-5-YR'!AB1573</f>
        <v>1163788</v>
      </c>
      <c r="G87" s="55">
        <f>'Ref. ACS-5-YR'!AC1562+'Ref. ACS-5-YR'!AC1573</f>
        <v>8.8999999999999996E-2</v>
      </c>
      <c r="H87" s="54"/>
      <c r="I87" s="54"/>
      <c r="J87" s="54"/>
      <c r="K87" s="54"/>
      <c r="L87" s="270"/>
    </row>
    <row r="88" spans="1:13" x14ac:dyDescent="0.3">
      <c r="A88" t="s">
        <v>1586</v>
      </c>
      <c r="B88" s="2"/>
    </row>
    <row r="90" spans="1:13" x14ac:dyDescent="0.3">
      <c r="M90" s="42" t="str">
        <f>A88</f>
        <v>Source: U.S. Census Bureau, ACS 16-20 (5-year Estimates), Table B25036</v>
      </c>
    </row>
    <row r="91" spans="1:13" x14ac:dyDescent="0.3">
      <c r="A91" s="1" t="s">
        <v>1587</v>
      </c>
    </row>
    <row r="92" spans="1:13" ht="31.2" customHeight="1" x14ac:dyDescent="0.3">
      <c r="A92" s="80"/>
      <c r="B92" s="60" t="str">
        <f>B3</f>
        <v>City of Madera</v>
      </c>
      <c r="C92" s="60" t="s">
        <v>179</v>
      </c>
      <c r="D92" s="60" t="str">
        <f>B4</f>
        <v>Madera County</v>
      </c>
      <c r="E92" s="60" t="s">
        <v>179</v>
      </c>
      <c r="F92" s="60" t="s">
        <v>173</v>
      </c>
      <c r="G92" s="60" t="s">
        <v>179</v>
      </c>
    </row>
    <row r="93" spans="1:13" x14ac:dyDescent="0.3">
      <c r="A93" s="13" t="s">
        <v>174</v>
      </c>
      <c r="B93" s="16">
        <f>'Ref. ACS-5-YR'!H1551</f>
        <v>17598</v>
      </c>
      <c r="C93" s="55"/>
      <c r="D93" s="16">
        <f>'Ref. ACS-5-YR'!R1551</f>
        <v>44479</v>
      </c>
      <c r="E93" s="55"/>
      <c r="F93" s="16">
        <f>'Ref. ACS-5-YR'!AB1551</f>
        <v>13103114</v>
      </c>
      <c r="G93" s="55"/>
    </row>
    <row r="94" spans="1:13" x14ac:dyDescent="0.3">
      <c r="A94" s="13" t="s">
        <v>1396</v>
      </c>
      <c r="B94" s="16">
        <f>'Ref. ACS-5-YR'!H1552</f>
        <v>8909</v>
      </c>
      <c r="C94" s="55">
        <f>'Ref. ACS-5-YR'!I1552</f>
        <v>0.50625071030798952</v>
      </c>
      <c r="D94" s="16">
        <f>'Ref. ACS-5-YR'!R1552</f>
        <v>29270</v>
      </c>
      <c r="E94" s="55">
        <f>'Ref. ACS-5-YR'!S1552</f>
        <v>0.65806335574091146</v>
      </c>
      <c r="F94" s="16">
        <f>'Ref. ACS-5-YR'!AB1552</f>
        <v>7241318</v>
      </c>
      <c r="G94" s="55">
        <f>'Ref. ACS-5-YR'!AC1552</f>
        <v>0.55300000000000005</v>
      </c>
    </row>
    <row r="95" spans="1:13" x14ac:dyDescent="0.3">
      <c r="A95" s="186" t="s">
        <v>1576</v>
      </c>
      <c r="B95" s="16">
        <f>'Ref. ACS-5-YR'!H1553</f>
        <v>378</v>
      </c>
      <c r="C95" s="55">
        <f>'Ref. ACS-5-YR'!I1553</f>
        <v>2.1479713603818614E-2</v>
      </c>
      <c r="D95" s="16">
        <f>'Ref. ACS-5-YR'!R1553</f>
        <v>844</v>
      </c>
      <c r="E95" s="55">
        <f>'Ref. ACS-5-YR'!S1553</f>
        <v>1.8975246745655254E-2</v>
      </c>
      <c r="F95" s="16">
        <f>'Ref. ACS-5-YR'!AB1553</f>
        <v>160558</v>
      </c>
      <c r="G95" s="55">
        <f>'Ref. ACS-5-YR'!AC1553</f>
        <v>1.2E-2</v>
      </c>
    </row>
    <row r="96" spans="1:13" x14ac:dyDescent="0.3">
      <c r="A96" s="186" t="s">
        <v>1577</v>
      </c>
      <c r="B96" s="16">
        <f>'Ref. ACS-5-YR'!H1554</f>
        <v>236</v>
      </c>
      <c r="C96" s="55">
        <f>'Ref. ACS-5-YR'!I1554</f>
        <v>1.341061484259575E-2</v>
      </c>
      <c r="D96" s="16">
        <f>'Ref. ACS-5-YR'!R1554</f>
        <v>418</v>
      </c>
      <c r="E96" s="55">
        <f>'Ref. ACS-5-YR'!S1554</f>
        <v>9.3976932934643313E-3</v>
      </c>
      <c r="F96" s="16">
        <f>'Ref. ACS-5-YR'!AB1554</f>
        <v>112342</v>
      </c>
      <c r="G96" s="55">
        <f>'Ref. ACS-5-YR'!AC1554</f>
        <v>8.9999999999999993E-3</v>
      </c>
    </row>
    <row r="97" spans="1:7" x14ac:dyDescent="0.3">
      <c r="A97" s="186" t="s">
        <v>1578</v>
      </c>
      <c r="B97" s="16">
        <f>'Ref. ACS-5-YR'!H1555</f>
        <v>3176</v>
      </c>
      <c r="C97" s="55">
        <f>'Ref. ACS-5-YR'!I1555</f>
        <v>0.18047505398340721</v>
      </c>
      <c r="D97" s="16">
        <f>'Ref. ACS-5-YR'!R1555</f>
        <v>7792</v>
      </c>
      <c r="E97" s="55">
        <f>'Ref. ACS-5-YR'!S1555</f>
        <v>0.17518379459969874</v>
      </c>
      <c r="F97" s="16">
        <f>'Ref. ACS-5-YR'!AB1555</f>
        <v>924495</v>
      </c>
      <c r="G97" s="55">
        <f>'Ref. ACS-5-YR'!AC1555</f>
        <v>7.0999999999999994E-2</v>
      </c>
    </row>
    <row r="98" spans="1:7" x14ac:dyDescent="0.3">
      <c r="A98" s="186" t="s">
        <v>1579</v>
      </c>
      <c r="B98" s="16">
        <f>'Ref. ACS-5-YR'!H1556</f>
        <v>1696</v>
      </c>
      <c r="C98" s="55">
        <f>'Ref. ACS-5-YR'!I1556</f>
        <v>9.6374588021366059E-2</v>
      </c>
      <c r="D98" s="16">
        <f>'Ref. ACS-5-YR'!R1556</f>
        <v>5622</v>
      </c>
      <c r="E98" s="55">
        <f>'Ref. ACS-5-YR'!S1556</f>
        <v>0.12639672654511117</v>
      </c>
      <c r="F98" s="16">
        <f>'Ref. ACS-5-YR'!AB1556</f>
        <v>811147</v>
      </c>
      <c r="G98" s="55">
        <f>'Ref. ACS-5-YR'!AC1556</f>
        <v>6.2E-2</v>
      </c>
    </row>
    <row r="99" spans="1:7" x14ac:dyDescent="0.3">
      <c r="A99" s="186" t="s">
        <v>1580</v>
      </c>
      <c r="B99" s="16">
        <f>'Ref. ACS-5-YR'!H1557</f>
        <v>749</v>
      </c>
      <c r="C99" s="55">
        <f>'Ref. ACS-5-YR'!I1557</f>
        <v>4.2561654733492445E-2</v>
      </c>
      <c r="D99" s="16">
        <f>'Ref. ACS-5-YR'!R1557</f>
        <v>4402</v>
      </c>
      <c r="E99" s="55">
        <f>'Ref. ACS-5-YR'!S1557</f>
        <v>9.8968052339306195E-2</v>
      </c>
      <c r="F99" s="16">
        <f>'Ref. ACS-5-YR'!AB1557</f>
        <v>1068601</v>
      </c>
      <c r="G99" s="55">
        <f>'Ref. ACS-5-YR'!AC1557</f>
        <v>8.2000000000000003E-2</v>
      </c>
    </row>
    <row r="100" spans="1:7" x14ac:dyDescent="0.3">
      <c r="A100" s="186" t="s">
        <v>1581</v>
      </c>
      <c r="B100" s="16">
        <f>'Ref. ACS-5-YR'!H1558</f>
        <v>1110</v>
      </c>
      <c r="C100" s="55">
        <f>'Ref. ACS-5-YR'!I1558</f>
        <v>6.3075349471530859E-2</v>
      </c>
      <c r="D100" s="16">
        <f>'Ref. ACS-5-YR'!R1558</f>
        <v>4988</v>
      </c>
      <c r="E100" s="55">
        <f>'Ref. ACS-5-YR'!S1558</f>
        <v>0.11214280896602891</v>
      </c>
      <c r="F100" s="16">
        <f>'Ref. ACS-5-YR'!AB1558</f>
        <v>1175870</v>
      </c>
      <c r="G100" s="55">
        <f>'Ref. ACS-5-YR'!AC1558</f>
        <v>0.09</v>
      </c>
    </row>
    <row r="101" spans="1:7" x14ac:dyDescent="0.3">
      <c r="A101" s="186" t="s">
        <v>1582</v>
      </c>
      <c r="B101" s="16">
        <f>'Ref. ACS-5-YR'!H1559</f>
        <v>342</v>
      </c>
      <c r="C101" s="55">
        <f>'Ref. ACS-5-YR'!I1559</f>
        <v>1.943402659393113E-2</v>
      </c>
      <c r="D101" s="16">
        <f>'Ref. ACS-5-YR'!R1559</f>
        <v>1551</v>
      </c>
      <c r="E101" s="55">
        <f>'Ref. ACS-5-YR'!S1559</f>
        <v>3.4870388273117649E-2</v>
      </c>
      <c r="F101" s="16">
        <f>'Ref. ACS-5-YR'!AB1559</f>
        <v>906490</v>
      </c>
      <c r="G101" s="55">
        <f>'Ref. ACS-5-YR'!AC1559</f>
        <v>6.9000000000000006E-2</v>
      </c>
    </row>
    <row r="102" spans="1:7" x14ac:dyDescent="0.3">
      <c r="A102" s="186" t="s">
        <v>1583</v>
      </c>
      <c r="B102" s="16">
        <f>'Ref. ACS-5-YR'!H1560</f>
        <v>515</v>
      </c>
      <c r="C102" s="55">
        <f>'Ref. ACS-5-YR'!I1560</f>
        <v>2.9264689169223774E-2</v>
      </c>
      <c r="D102" s="16">
        <f>'Ref. ACS-5-YR'!R1560</f>
        <v>1838</v>
      </c>
      <c r="E102" s="55">
        <f>'Ref. ACS-5-YR'!S1560</f>
        <v>4.1322871467434068E-2</v>
      </c>
      <c r="F102" s="16">
        <f>'Ref. ACS-5-YR'!AB1560</f>
        <v>1077380</v>
      </c>
      <c r="G102" s="55">
        <f>'Ref. ACS-5-YR'!AC1560</f>
        <v>8.2000000000000003E-2</v>
      </c>
    </row>
    <row r="103" spans="1:7" x14ac:dyDescent="0.3">
      <c r="A103" s="186" t="s">
        <v>1584</v>
      </c>
      <c r="B103" s="16">
        <f>'Ref. ACS-5-YR'!H1561</f>
        <v>502</v>
      </c>
      <c r="C103" s="55">
        <f>'Ref. ACS-5-YR'!I1561</f>
        <v>2.8525968860097738E-2</v>
      </c>
      <c r="D103" s="16">
        <f>'Ref. ACS-5-YR'!R1561</f>
        <v>1140</v>
      </c>
      <c r="E103" s="55">
        <f>'Ref. ACS-5-YR'!S1561</f>
        <v>2.5630072618539085E-2</v>
      </c>
      <c r="F103" s="16">
        <f>'Ref. ACS-5-YR'!AB1561</f>
        <v>430809</v>
      </c>
      <c r="G103" s="55">
        <f>'Ref. ACS-5-YR'!AC1561</f>
        <v>3.3000000000000002E-2</v>
      </c>
    </row>
    <row r="104" spans="1:7" x14ac:dyDescent="0.3">
      <c r="A104" s="186" t="s">
        <v>1585</v>
      </c>
      <c r="B104" s="16">
        <f>'Ref. ACS-5-YR'!H1562</f>
        <v>205</v>
      </c>
      <c r="C104" s="55">
        <f>'Ref. ACS-5-YR'!I1562</f>
        <v>1.1649051028525969E-2</v>
      </c>
      <c r="D104" s="16">
        <f>'Ref. ACS-5-YR'!R1562</f>
        <v>675</v>
      </c>
      <c r="E104" s="55">
        <f>'Ref. ACS-5-YR'!S1562</f>
        <v>1.5175700892556038E-2</v>
      </c>
      <c r="F104" s="16">
        <f>'Ref. ACS-5-YR'!AB1562</f>
        <v>573626</v>
      </c>
      <c r="G104" s="55">
        <f>'Ref. ACS-5-YR'!AC1562</f>
        <v>4.3999999999999997E-2</v>
      </c>
    </row>
    <row r="105" spans="1:7" x14ac:dyDescent="0.3">
      <c r="A105" s="13" t="s">
        <v>1388</v>
      </c>
      <c r="B105" s="16">
        <f>'Ref. ACS-5-YR'!H1563</f>
        <v>8689</v>
      </c>
      <c r="C105" s="55">
        <f>'Ref. ACS-5-YR'!I1563</f>
        <v>0.49374928969201043</v>
      </c>
      <c r="D105" s="16">
        <f>'Ref. ACS-5-YR'!R1563</f>
        <v>15209</v>
      </c>
      <c r="E105" s="55">
        <f>'Ref. ACS-5-YR'!S1563</f>
        <v>0.34193664425908854</v>
      </c>
      <c r="F105" s="16">
        <f>'Ref. ACS-5-YR'!AB1563</f>
        <v>5861796</v>
      </c>
      <c r="G105" s="55">
        <f>'Ref. ACS-5-YR'!AC1563</f>
        <v>0.44700000000000001</v>
      </c>
    </row>
    <row r="106" spans="1:7" x14ac:dyDescent="0.3">
      <c r="A106" s="186" t="s">
        <v>1576</v>
      </c>
      <c r="B106" s="16">
        <f>'Ref. ACS-5-YR'!H1564</f>
        <v>418</v>
      </c>
      <c r="C106" s="55">
        <f>'Ref. ACS-5-YR'!I1564</f>
        <v>2.375269917036027E-2</v>
      </c>
      <c r="D106" s="16">
        <f>'Ref. ACS-5-YR'!R1564</f>
        <v>579</v>
      </c>
      <c r="E106" s="55">
        <f>'Ref. ACS-5-YR'!S1564</f>
        <v>1.3017378987836956E-2</v>
      </c>
      <c r="F106" s="16">
        <f>'Ref. ACS-5-YR'!AB1564</f>
        <v>134109</v>
      </c>
      <c r="G106" s="55">
        <f>'Ref. ACS-5-YR'!AC1564</f>
        <v>0.01</v>
      </c>
    </row>
    <row r="107" spans="1:7" x14ac:dyDescent="0.3">
      <c r="A107" s="186" t="s">
        <v>1577</v>
      </c>
      <c r="B107" s="16">
        <f>'Ref. ACS-5-YR'!H1565</f>
        <v>683</v>
      </c>
      <c r="C107" s="55">
        <f>'Ref. ACS-5-YR'!I1565</f>
        <v>3.8811228548698715E-2</v>
      </c>
      <c r="D107" s="16">
        <f>'Ref. ACS-5-YR'!R1565</f>
        <v>794</v>
      </c>
      <c r="E107" s="55">
        <f>'Ref. ACS-5-YR'!S1565</f>
        <v>1.7851120753614065E-2</v>
      </c>
      <c r="F107" s="16">
        <f>'Ref. ACS-5-YR'!AB1565</f>
        <v>122304</v>
      </c>
      <c r="G107" s="55">
        <f>'Ref. ACS-5-YR'!AC1565</f>
        <v>8.9999999999999993E-3</v>
      </c>
    </row>
    <row r="108" spans="1:7" x14ac:dyDescent="0.3">
      <c r="A108" s="186" t="s">
        <v>1578</v>
      </c>
      <c r="B108" s="16">
        <f>'Ref. ACS-5-YR'!H1566</f>
        <v>1284</v>
      </c>
      <c r="C108" s="55">
        <f>'Ref. ACS-5-YR'!I1566</f>
        <v>7.2962836685987048E-2</v>
      </c>
      <c r="D108" s="16">
        <f>'Ref. ACS-5-YR'!R1566</f>
        <v>2204</v>
      </c>
      <c r="E108" s="55">
        <f>'Ref. ACS-5-YR'!S1566</f>
        <v>4.9551473729175566E-2</v>
      </c>
      <c r="F108" s="16">
        <f>'Ref. ACS-5-YR'!AB1566</f>
        <v>508460</v>
      </c>
      <c r="G108" s="55">
        <f>'Ref. ACS-5-YR'!AC1566</f>
        <v>3.9E-2</v>
      </c>
    </row>
    <row r="109" spans="1:7" x14ac:dyDescent="0.3">
      <c r="A109" s="186" t="s">
        <v>1579</v>
      </c>
      <c r="B109" s="16">
        <f>'Ref. ACS-5-YR'!H1567</f>
        <v>1540</v>
      </c>
      <c r="C109" s="55">
        <f>'Ref. ACS-5-YR'!I1567</f>
        <v>8.7509944311853619E-2</v>
      </c>
      <c r="D109" s="16">
        <f>'Ref. ACS-5-YR'!R1567</f>
        <v>2335</v>
      </c>
      <c r="E109" s="55">
        <f>'Ref. ACS-5-YR'!S1567</f>
        <v>5.2496683828323482E-2</v>
      </c>
      <c r="F109" s="16">
        <f>'Ref. ACS-5-YR'!AB1567</f>
        <v>637220</v>
      </c>
      <c r="G109" s="55">
        <f>'Ref. ACS-5-YR'!AC1567</f>
        <v>4.9000000000000002E-2</v>
      </c>
    </row>
    <row r="110" spans="1:7" x14ac:dyDescent="0.3">
      <c r="A110" s="186" t="s">
        <v>1580</v>
      </c>
      <c r="B110" s="16">
        <f>'Ref. ACS-5-YR'!H1568</f>
        <v>1278</v>
      </c>
      <c r="C110" s="55">
        <f>'Ref. ACS-5-YR'!I1568</f>
        <v>7.2621888851005803E-2</v>
      </c>
      <c r="D110" s="16">
        <f>'Ref. ACS-5-YR'!R1568</f>
        <v>2293</v>
      </c>
      <c r="E110" s="55">
        <f>'Ref. ACS-5-YR'!S1568</f>
        <v>5.1552417995008884E-2</v>
      </c>
      <c r="F110" s="16">
        <f>'Ref. ACS-5-YR'!AB1568</f>
        <v>898705</v>
      </c>
      <c r="G110" s="55">
        <f>'Ref. ACS-5-YR'!AC1568</f>
        <v>6.9000000000000006E-2</v>
      </c>
    </row>
    <row r="111" spans="1:7" x14ac:dyDescent="0.3">
      <c r="A111" s="186" t="s">
        <v>1581</v>
      </c>
      <c r="B111" s="16">
        <f>'Ref. ACS-5-YR'!H1569</f>
        <v>1638</v>
      </c>
      <c r="C111" s="55">
        <f>'Ref. ACS-5-YR'!I1569</f>
        <v>9.3078758949880672E-2</v>
      </c>
      <c r="D111" s="16">
        <f>'Ref. ACS-5-YR'!R1569</f>
        <v>3352</v>
      </c>
      <c r="E111" s="55">
        <f>'Ref. ACS-5-YR'!S1569</f>
        <v>7.5361406506441242E-2</v>
      </c>
      <c r="F111" s="16">
        <f>'Ref. ACS-5-YR'!AB1569</f>
        <v>1114211</v>
      </c>
      <c r="G111" s="55">
        <f>'Ref. ACS-5-YR'!AC1569</f>
        <v>8.5000000000000006E-2</v>
      </c>
    </row>
    <row r="112" spans="1:7" x14ac:dyDescent="0.3">
      <c r="A112" s="186" t="s">
        <v>1582</v>
      </c>
      <c r="B112" s="16">
        <f>'Ref. ACS-5-YR'!H1570</f>
        <v>438</v>
      </c>
      <c r="C112" s="55">
        <f>'Ref. ACS-5-YR'!I1570</f>
        <v>2.4889191953631096E-2</v>
      </c>
      <c r="D112" s="16">
        <f>'Ref. ACS-5-YR'!R1570</f>
        <v>1228</v>
      </c>
      <c r="E112" s="55">
        <f>'Ref. ACS-5-YR'!S1570</f>
        <v>2.7608534364531576E-2</v>
      </c>
      <c r="F112" s="16">
        <f>'Ref. ACS-5-YR'!AB1570</f>
        <v>834432</v>
      </c>
      <c r="G112" s="55">
        <f>'Ref. ACS-5-YR'!AC1570</f>
        <v>6.4000000000000001E-2</v>
      </c>
    </row>
    <row r="113" spans="1:13" x14ac:dyDescent="0.3">
      <c r="A113" s="186" t="s">
        <v>1583</v>
      </c>
      <c r="B113" s="16">
        <f>'Ref. ACS-5-YR'!H1571</f>
        <v>589</v>
      </c>
      <c r="C113" s="55">
        <f>'Ref. ACS-5-YR'!I1571</f>
        <v>3.3469712467325829E-2</v>
      </c>
      <c r="D113" s="16">
        <f>'Ref. ACS-5-YR'!R1571</f>
        <v>986</v>
      </c>
      <c r="E113" s="55">
        <f>'Ref. ACS-5-YR'!S1571</f>
        <v>2.2167764563052226E-2</v>
      </c>
      <c r="F113" s="16">
        <f>'Ref. ACS-5-YR'!AB1571</f>
        <v>689973</v>
      </c>
      <c r="G113" s="55">
        <f>'Ref. ACS-5-YR'!AC1571</f>
        <v>5.2999999999999999E-2</v>
      </c>
    </row>
    <row r="114" spans="1:13" x14ac:dyDescent="0.3">
      <c r="A114" s="186" t="s">
        <v>1584</v>
      </c>
      <c r="B114" s="16">
        <f>'Ref. ACS-5-YR'!H1572</f>
        <v>495</v>
      </c>
      <c r="C114" s="55">
        <f>'Ref. ACS-5-YR'!I1572</f>
        <v>2.8128196385952948E-2</v>
      </c>
      <c r="D114" s="16">
        <f>'Ref. ACS-5-YR'!R1572</f>
        <v>770</v>
      </c>
      <c r="E114" s="55">
        <f>'Ref. ACS-5-YR'!S1572</f>
        <v>1.7311540277434295E-2</v>
      </c>
      <c r="F114" s="16">
        <f>'Ref. ACS-5-YR'!AB1572</f>
        <v>332220</v>
      </c>
      <c r="G114" s="55">
        <f>'Ref. ACS-5-YR'!AC1572</f>
        <v>2.5000000000000001E-2</v>
      </c>
    </row>
    <row r="115" spans="1:13" x14ac:dyDescent="0.3">
      <c r="A115" s="186" t="s">
        <v>1585</v>
      </c>
      <c r="B115" s="16">
        <f>'Ref. ACS-5-YR'!H1573</f>
        <v>326</v>
      </c>
      <c r="C115" s="55">
        <f>'Ref. ACS-5-YR'!I1573</f>
        <v>1.8524832367314469E-2</v>
      </c>
      <c r="D115" s="16">
        <f>'Ref. ACS-5-YR'!R1573</f>
        <v>668</v>
      </c>
      <c r="E115" s="55">
        <f>'Ref. ACS-5-YR'!S1573</f>
        <v>1.5018323253670271E-2</v>
      </c>
      <c r="F115" s="16">
        <f>'Ref. ACS-5-YR'!AB1573</f>
        <v>590162</v>
      </c>
      <c r="G115" s="55">
        <f>'Ref. ACS-5-YR'!AC1573</f>
        <v>4.4999999999999998E-2</v>
      </c>
    </row>
    <row r="116" spans="1:13" x14ac:dyDescent="0.3">
      <c r="A116" t="s">
        <v>1586</v>
      </c>
      <c r="B116" s="2"/>
    </row>
    <row r="117" spans="1:13" ht="30" customHeight="1" x14ac:dyDescent="0.3">
      <c r="A117" s="355" t="s">
        <v>2485</v>
      </c>
      <c r="B117" s="355"/>
      <c r="C117" s="355"/>
      <c r="D117" s="355"/>
      <c r="E117" s="355"/>
      <c r="F117" s="355"/>
      <c r="G117" s="355"/>
    </row>
    <row r="120" spans="1:13" x14ac:dyDescent="0.3">
      <c r="M120"/>
    </row>
    <row r="121" spans="1:13" x14ac:dyDescent="0.3">
      <c r="A121" s="1" t="s">
        <v>2476</v>
      </c>
      <c r="B121" s="114"/>
      <c r="C121" s="114" t="s">
        <v>179</v>
      </c>
      <c r="D121" s="114"/>
      <c r="E121" s="114" t="s">
        <v>179</v>
      </c>
      <c r="F121" s="114"/>
      <c r="G121" s="114" t="s">
        <v>179</v>
      </c>
    </row>
    <row r="122" spans="1:13" ht="26.4" customHeight="1" x14ac:dyDescent="0.3">
      <c r="A122" s="156"/>
      <c r="B122" s="60" t="str">
        <f>B3</f>
        <v>City of Madera</v>
      </c>
      <c r="C122" s="60" t="str">
        <f>B3</f>
        <v>City of Madera</v>
      </c>
      <c r="D122" s="60" t="str">
        <f>B4</f>
        <v>Madera County</v>
      </c>
      <c r="E122" s="60" t="str">
        <f>B4</f>
        <v>Madera County</v>
      </c>
      <c r="F122" s="60" t="s">
        <v>173</v>
      </c>
      <c r="G122" s="60" t="s">
        <v>173</v>
      </c>
      <c r="M122" s="61" t="s">
        <v>117</v>
      </c>
    </row>
    <row r="123" spans="1:13" x14ac:dyDescent="0.3">
      <c r="A123" s="13" t="s">
        <v>174</v>
      </c>
      <c r="B123" s="16">
        <f>'Ref. ACS-5-YR'!H1163</f>
        <v>17598</v>
      </c>
      <c r="C123" s="55" t="str">
        <f>'Ref. ACS-5-YR'!I1163</f>
        <v xml:space="preserve"> </v>
      </c>
      <c r="D123" s="16">
        <f>'Ref. ACS-5-YR'!R1163</f>
        <v>44479</v>
      </c>
      <c r="E123" s="55" t="str">
        <f>'Ref. ACS-5-YR'!S1163</f>
        <v xml:space="preserve"> </v>
      </c>
      <c r="F123" s="16">
        <f>'Ref. ACS-5-YR'!AB1163</f>
        <v>13103114</v>
      </c>
      <c r="G123" s="55" t="str">
        <f>'Ref. ACS-5-YR'!AC1163</f>
        <v xml:space="preserve"> </v>
      </c>
    </row>
    <row r="124" spans="1:13" x14ac:dyDescent="0.3">
      <c r="A124" s="13" t="s">
        <v>1588</v>
      </c>
      <c r="B124" s="16">
        <f>'Ref. ACS-5-YR'!H1164</f>
        <v>8909</v>
      </c>
      <c r="C124" s="55">
        <f>'Ref. ACS-5-YR'!I1164</f>
        <v>0.50625071030798952</v>
      </c>
      <c r="D124" s="16">
        <f>'Ref. ACS-5-YR'!R1164</f>
        <v>29270</v>
      </c>
      <c r="E124" s="55">
        <f>'Ref. ACS-5-YR'!S1164</f>
        <v>0.65806335574091146</v>
      </c>
      <c r="F124" s="16">
        <f>'Ref. ACS-5-YR'!AB1164</f>
        <v>7241318</v>
      </c>
      <c r="G124" s="55">
        <f>'Ref. ACS-5-YR'!AC1164</f>
        <v>0.55300000000000005</v>
      </c>
    </row>
    <row r="125" spans="1:13" x14ac:dyDescent="0.3">
      <c r="A125" s="13" t="s">
        <v>1589</v>
      </c>
      <c r="B125" s="16">
        <f>'Ref. ACS-5-YR'!H1165</f>
        <v>8909</v>
      </c>
      <c r="C125" s="55">
        <f>'Ref. ACS-5-YR'!I1165</f>
        <v>0.50625071030798952</v>
      </c>
      <c r="D125" s="16">
        <f>'Ref. ACS-5-YR'!R1165</f>
        <v>29249</v>
      </c>
      <c r="E125" s="55">
        <f>'Ref. ACS-5-YR'!S1165</f>
        <v>0.6575912228242542</v>
      </c>
      <c r="F125" s="16">
        <f>'Ref. ACS-5-YR'!AB1165</f>
        <v>7223884</v>
      </c>
      <c r="G125" s="55">
        <f>'Ref. ACS-5-YR'!AC1165</f>
        <v>0.55100000000000005</v>
      </c>
    </row>
    <row r="126" spans="1:13" x14ac:dyDescent="0.3">
      <c r="A126" s="13" t="s">
        <v>1590</v>
      </c>
      <c r="B126" s="16">
        <f>'Ref. ACS-5-YR'!H1166</f>
        <v>0</v>
      </c>
      <c r="C126" s="55">
        <f>'Ref. ACS-5-YR'!I1166</f>
        <v>0</v>
      </c>
      <c r="D126" s="16">
        <f>'Ref. ACS-5-YR'!R1166</f>
        <v>21</v>
      </c>
      <c r="E126" s="55">
        <f>'Ref. ACS-5-YR'!S1166</f>
        <v>4.7213291665729895E-4</v>
      </c>
      <c r="F126" s="16">
        <f>'Ref. ACS-5-YR'!AB1166</f>
        <v>17434</v>
      </c>
      <c r="G126" s="55">
        <f>'Ref. ACS-5-YR'!AC1166</f>
        <v>1E-3</v>
      </c>
    </row>
    <row r="127" spans="1:13" x14ac:dyDescent="0.3">
      <c r="A127" s="13" t="s">
        <v>1591</v>
      </c>
      <c r="B127" s="16">
        <f>'Ref. ACS-5-YR'!H1167</f>
        <v>8689</v>
      </c>
      <c r="C127" s="55">
        <f>'Ref. ACS-5-YR'!I1167</f>
        <v>0.49374928969201043</v>
      </c>
      <c r="D127" s="16">
        <f>'Ref. ACS-5-YR'!R1167</f>
        <v>15209</v>
      </c>
      <c r="E127" s="55">
        <f>'Ref. ACS-5-YR'!S1167</f>
        <v>0.34193664425908854</v>
      </c>
      <c r="F127" s="16">
        <f>'Ref. ACS-5-YR'!AB1167</f>
        <v>5861796</v>
      </c>
      <c r="G127" s="55">
        <f>'Ref. ACS-5-YR'!AC1167</f>
        <v>0.44700000000000001</v>
      </c>
    </row>
    <row r="128" spans="1:13" x14ac:dyDescent="0.3">
      <c r="A128" s="13" t="s">
        <v>1589</v>
      </c>
      <c r="B128" s="16">
        <f>'Ref. ACS-5-YR'!H1168</f>
        <v>8648</v>
      </c>
      <c r="C128" s="55">
        <f>'Ref. ACS-5-YR'!I1168</f>
        <v>0.49141947948630527</v>
      </c>
      <c r="D128" s="16">
        <f>'Ref. ACS-5-YR'!R1168</f>
        <v>15112</v>
      </c>
      <c r="E128" s="55">
        <f>'Ref. ACS-5-YR'!S1168</f>
        <v>0.33975583983452867</v>
      </c>
      <c r="F128" s="16">
        <f>'Ref. ACS-5-YR'!AB1168</f>
        <v>5824888</v>
      </c>
      <c r="G128" s="55">
        <f>'Ref. ACS-5-YR'!AC1168</f>
        <v>0.44500000000000001</v>
      </c>
    </row>
    <row r="129" spans="1:13" x14ac:dyDescent="0.3">
      <c r="A129" s="13" t="s">
        <v>1592</v>
      </c>
      <c r="B129" s="16">
        <f>'Ref. ACS-5-YR'!H1169</f>
        <v>41</v>
      </c>
      <c r="C129" s="55">
        <f>'Ref. ACS-5-YR'!I1169</f>
        <v>2.3298102057051936E-3</v>
      </c>
      <c r="D129" s="16">
        <f>'Ref. ACS-5-YR'!R1169</f>
        <v>97</v>
      </c>
      <c r="E129" s="55">
        <f>'Ref. ACS-5-YR'!S1169</f>
        <v>2.1808044245599048E-3</v>
      </c>
      <c r="F129" s="16">
        <f>'Ref. ACS-5-YR'!AB1169</f>
        <v>36908</v>
      </c>
      <c r="G129" s="55">
        <f>'Ref. ACS-5-YR'!AC1169</f>
        <v>3.0000000000000001E-3</v>
      </c>
    </row>
    <row r="130" spans="1:13" x14ac:dyDescent="0.3">
      <c r="A130" t="s">
        <v>1593</v>
      </c>
    </row>
    <row r="131" spans="1:13" s="72" customFormat="1" ht="29.4" customHeight="1" x14ac:dyDescent="0.3">
      <c r="A131" s="355" t="s">
        <v>2485</v>
      </c>
      <c r="B131" s="355"/>
      <c r="C131" s="355"/>
      <c r="D131" s="355"/>
      <c r="E131" s="355"/>
      <c r="F131" s="355"/>
      <c r="G131" s="355"/>
      <c r="I131" s="42"/>
      <c r="J131" s="42"/>
      <c r="K131" s="42"/>
      <c r="L131" s="275"/>
      <c r="M131" s="72" t="str">
        <f>A130</f>
        <v>Source: U.S. Census Bureau, ACS 16-20 (5-year Estimates), Table B25049</v>
      </c>
    </row>
    <row r="133" spans="1:13" x14ac:dyDescent="0.3">
      <c r="A133" s="1" t="s">
        <v>2475</v>
      </c>
      <c r="B133" s="114"/>
      <c r="C133" s="114" t="s">
        <v>179</v>
      </c>
      <c r="D133" s="114"/>
      <c r="E133" s="114" t="s">
        <v>179</v>
      </c>
      <c r="F133" s="114"/>
      <c r="G133" s="114" t="s">
        <v>179</v>
      </c>
      <c r="M133" s="61" t="s">
        <v>117</v>
      </c>
    </row>
    <row r="134" spans="1:13" ht="28.95" customHeight="1" x14ac:dyDescent="0.3">
      <c r="A134" s="156"/>
      <c r="B134" s="60" t="str">
        <f>B3</f>
        <v>City of Madera</v>
      </c>
      <c r="C134" s="60" t="str">
        <f>B3</f>
        <v>City of Madera</v>
      </c>
      <c r="D134" s="60" t="str">
        <f>B4</f>
        <v>Madera County</v>
      </c>
      <c r="E134" s="60" t="str">
        <f>B4</f>
        <v>Madera County</v>
      </c>
      <c r="F134" s="60" t="s">
        <v>173</v>
      </c>
      <c r="G134" s="60" t="s">
        <v>173</v>
      </c>
    </row>
    <row r="135" spans="1:13" x14ac:dyDescent="0.3">
      <c r="A135" s="13" t="s">
        <v>174</v>
      </c>
      <c r="B135" s="16">
        <f>'Ref. ACS-5-YR'!H1173</f>
        <v>17598</v>
      </c>
      <c r="C135" s="55" t="str">
        <f>'Ref. ACS-5-YR'!I1173</f>
        <v xml:space="preserve"> </v>
      </c>
      <c r="D135" s="16">
        <f>'Ref. ACS-5-YR'!R1173</f>
        <v>44479</v>
      </c>
      <c r="E135" s="55" t="str">
        <f>'Ref. ACS-5-YR'!S1173</f>
        <v xml:space="preserve"> </v>
      </c>
      <c r="F135" s="16">
        <f>'Ref. ACS-5-YR'!AB1173</f>
        <v>13103114</v>
      </c>
      <c r="G135" s="55" t="str">
        <f>'Ref. ACS-5-YR'!AC1173</f>
        <v xml:space="preserve"> </v>
      </c>
    </row>
    <row r="136" spans="1:13" x14ac:dyDescent="0.3">
      <c r="A136" s="13" t="s">
        <v>1588</v>
      </c>
      <c r="B136" s="16">
        <f>'Ref. ACS-5-YR'!H1174</f>
        <v>8909</v>
      </c>
      <c r="C136" s="55">
        <f>'Ref. ACS-5-YR'!I1174</f>
        <v>0.50625071030798952</v>
      </c>
      <c r="D136" s="16">
        <f>'Ref. ACS-5-YR'!R1174</f>
        <v>29270</v>
      </c>
      <c r="E136" s="55">
        <f>'Ref. ACS-5-YR'!S1174</f>
        <v>0.65806335574091146</v>
      </c>
      <c r="F136" s="16">
        <f>'Ref. ACS-5-YR'!AB1174</f>
        <v>7241318</v>
      </c>
      <c r="G136" s="55">
        <f>'Ref. ACS-5-YR'!AC1174</f>
        <v>0.55300000000000005</v>
      </c>
    </row>
    <row r="137" spans="1:13" x14ac:dyDescent="0.3">
      <c r="A137" s="13" t="s">
        <v>1594</v>
      </c>
      <c r="B137" s="16">
        <f>'Ref. ACS-5-YR'!H1175</f>
        <v>8893</v>
      </c>
      <c r="C137" s="55">
        <f>'Ref. ACS-5-YR'!I1175</f>
        <v>0.5053415160813729</v>
      </c>
      <c r="D137" s="16">
        <f>'Ref. ACS-5-YR'!R1175</f>
        <v>29246</v>
      </c>
      <c r="E137" s="55">
        <f>'Ref. ACS-5-YR'!S1175</f>
        <v>0.65752377526473171</v>
      </c>
      <c r="F137" s="16">
        <f>'Ref. ACS-5-YR'!AB1175</f>
        <v>7217842</v>
      </c>
      <c r="G137" s="55">
        <f>'Ref. ACS-5-YR'!AC1175</f>
        <v>0.55100000000000005</v>
      </c>
    </row>
    <row r="138" spans="1:13" x14ac:dyDescent="0.3">
      <c r="A138" s="13" t="s">
        <v>1595</v>
      </c>
      <c r="B138" s="16">
        <f>'Ref. ACS-5-YR'!H1176</f>
        <v>16</v>
      </c>
      <c r="C138" s="55">
        <f>'Ref. ACS-5-YR'!I1176</f>
        <v>9.0919422661666098E-4</v>
      </c>
      <c r="D138" s="16">
        <f>'Ref. ACS-5-YR'!R1176</f>
        <v>24</v>
      </c>
      <c r="E138" s="55">
        <f>'Ref. ACS-5-YR'!S1176</f>
        <v>5.3958047617977021E-4</v>
      </c>
      <c r="F138" s="16">
        <f>'Ref. ACS-5-YR'!AB1176</f>
        <v>23476</v>
      </c>
      <c r="G138" s="55">
        <f>'Ref. ACS-5-YR'!AC1176</f>
        <v>2E-3</v>
      </c>
    </row>
    <row r="139" spans="1:13" x14ac:dyDescent="0.3">
      <c r="A139" s="13" t="s">
        <v>1591</v>
      </c>
      <c r="B139" s="16">
        <f>'Ref. ACS-5-YR'!H1177</f>
        <v>8689</v>
      </c>
      <c r="C139" s="55">
        <f>'Ref. ACS-5-YR'!I1177</f>
        <v>0.49374928969201043</v>
      </c>
      <c r="D139" s="16">
        <f>'Ref. ACS-5-YR'!R1177</f>
        <v>15209</v>
      </c>
      <c r="E139" s="55">
        <f>'Ref. ACS-5-YR'!S1177</f>
        <v>0.34193664425908854</v>
      </c>
      <c r="F139" s="16">
        <f>'Ref. ACS-5-YR'!AB1177</f>
        <v>5861796</v>
      </c>
      <c r="G139" s="55">
        <f>'Ref. ACS-5-YR'!AC1177</f>
        <v>0.44700000000000001</v>
      </c>
    </row>
    <row r="140" spans="1:13" x14ac:dyDescent="0.3">
      <c r="A140" s="13" t="s">
        <v>1594</v>
      </c>
      <c r="B140" s="16">
        <f>'Ref. ACS-5-YR'!H1178</f>
        <v>8612</v>
      </c>
      <c r="C140" s="55">
        <f>'Ref. ACS-5-YR'!I1178</f>
        <v>0.48937379247641777</v>
      </c>
      <c r="D140" s="16">
        <f>'Ref. ACS-5-YR'!R1178</f>
        <v>15085</v>
      </c>
      <c r="E140" s="55">
        <f>'Ref. ACS-5-YR'!S1178</f>
        <v>0.33914881179882639</v>
      </c>
      <c r="F140" s="16">
        <f>'Ref. ACS-5-YR'!AB1178</f>
        <v>5733612</v>
      </c>
      <c r="G140" s="55">
        <f>'Ref. ACS-5-YR'!AC1178</f>
        <v>0.438</v>
      </c>
    </row>
    <row r="141" spans="1:13" x14ac:dyDescent="0.3">
      <c r="A141" s="13" t="s">
        <v>1596</v>
      </c>
      <c r="B141" s="16">
        <f>'Ref. ACS-5-YR'!H1179</f>
        <v>77</v>
      </c>
      <c r="C141" s="55">
        <f>'Ref. ACS-5-YR'!I1179</f>
        <v>4.3754972155926808E-3</v>
      </c>
      <c r="D141" s="16">
        <f>'Ref. ACS-5-YR'!R1179</f>
        <v>124</v>
      </c>
      <c r="E141" s="55">
        <f>'Ref. ACS-5-YR'!S1179</f>
        <v>2.7878324602621462E-3</v>
      </c>
      <c r="F141" s="16">
        <f>'Ref. ACS-5-YR'!AB1179</f>
        <v>128184</v>
      </c>
      <c r="G141" s="55">
        <f>'Ref. ACS-5-YR'!AC1179</f>
        <v>0.01</v>
      </c>
    </row>
    <row r="142" spans="1:13" x14ac:dyDescent="0.3">
      <c r="A142" t="s">
        <v>1597</v>
      </c>
      <c r="M142" s="42" t="str">
        <f>A142</f>
        <v>Source: U.S. Census Bureau, ACS 16-20 (5-year Estimates), Table B25053</v>
      </c>
    </row>
    <row r="143" spans="1:13" s="72" customFormat="1" ht="29.4" customHeight="1" x14ac:dyDescent="0.3">
      <c r="A143" s="355" t="s">
        <v>2485</v>
      </c>
      <c r="B143" s="355"/>
      <c r="C143" s="355"/>
      <c r="D143" s="355"/>
      <c r="E143" s="355"/>
      <c r="F143" s="355"/>
      <c r="G143" s="355"/>
      <c r="I143" s="42"/>
      <c r="J143" s="42"/>
      <c r="K143" s="42"/>
      <c r="L143" s="275"/>
    </row>
    <row r="145" spans="1:13" x14ac:dyDescent="0.3">
      <c r="A145" s="1" t="s">
        <v>1598</v>
      </c>
      <c r="M145" s="61" t="s">
        <v>1599</v>
      </c>
    </row>
    <row r="146" spans="1:13" x14ac:dyDescent="0.3">
      <c r="A146" s="48"/>
      <c r="B146" s="91">
        <v>2010</v>
      </c>
      <c r="C146" s="91">
        <v>2015</v>
      </c>
      <c r="D146" s="91">
        <v>2020</v>
      </c>
    </row>
    <row r="147" spans="1:13" x14ac:dyDescent="0.3">
      <c r="A147" s="13" t="s">
        <v>1600</v>
      </c>
      <c r="B147" s="6">
        <f>'Ref. ACS-5-YR Add.'!B28</f>
        <v>16172</v>
      </c>
      <c r="C147" s="6">
        <f>'Ref. ACS-5-YR Add.'!E28</f>
        <v>16610</v>
      </c>
      <c r="D147" s="6">
        <f>'Ref. ACS-5-YR Add.'!H28</f>
        <v>20387</v>
      </c>
    </row>
    <row r="148" spans="1:13" x14ac:dyDescent="0.3">
      <c r="A148" s="13" t="s">
        <v>1543</v>
      </c>
      <c r="B148" s="16">
        <f>'Ref. ACS-5-YR'!B924</f>
        <v>17598</v>
      </c>
      <c r="C148" s="16">
        <f>'Ref. ACS-5-YR'!E924</f>
        <v>17894</v>
      </c>
      <c r="D148" s="16">
        <f>'Ref. ACS-5-YR'!H924</f>
        <v>18713</v>
      </c>
      <c r="L148" s="271"/>
    </row>
    <row r="149" spans="1:13" x14ac:dyDescent="0.3">
      <c r="A149" s="13" t="s">
        <v>1601</v>
      </c>
      <c r="B149" s="86">
        <f>B147/B148</f>
        <v>0.91896806455279012</v>
      </c>
      <c r="C149" s="86">
        <f>C147/C148</f>
        <v>0.92824410416899517</v>
      </c>
      <c r="D149" s="86">
        <f>D147/D148</f>
        <v>1.0894565275476942</v>
      </c>
      <c r="L149" s="270"/>
    </row>
    <row r="150" spans="1:13" x14ac:dyDescent="0.3">
      <c r="A150" t="s">
        <v>1602</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2477</v>
      </c>
      <c r="M163" s="61" t="s">
        <v>1603</v>
      </c>
    </row>
    <row r="164" spans="1:13" ht="28.95" customHeight="1" x14ac:dyDescent="0.3">
      <c r="A164" s="80"/>
      <c r="B164" s="60" t="str">
        <f>B3</f>
        <v>City of Madera</v>
      </c>
      <c r="C164" s="60" t="s">
        <v>179</v>
      </c>
      <c r="D164" s="60" t="str">
        <f>B4</f>
        <v>Madera County</v>
      </c>
      <c r="E164" s="60" t="s">
        <v>179</v>
      </c>
      <c r="F164" s="60" t="s">
        <v>173</v>
      </c>
      <c r="G164" s="60" t="s">
        <v>179</v>
      </c>
      <c r="H164" s="58"/>
      <c r="I164" s="58"/>
      <c r="J164" s="58"/>
      <c r="K164" s="58"/>
    </row>
    <row r="165" spans="1:13" x14ac:dyDescent="0.3">
      <c r="A165" s="13" t="s">
        <v>180</v>
      </c>
      <c r="B165" s="16">
        <f>'Ref. ACS-5-YR'!H988</f>
        <v>1115</v>
      </c>
      <c r="C165" s="55"/>
      <c r="D165" s="16">
        <f>'Ref. ACS-5-YR'!R988</f>
        <v>6001</v>
      </c>
      <c r="E165" s="55"/>
      <c r="F165" s="16">
        <f>'Ref. ACS-5-YR'!AB988</f>
        <v>1107831</v>
      </c>
      <c r="G165" s="55"/>
      <c r="H165" s="54"/>
      <c r="I165" s="54"/>
      <c r="J165" s="54"/>
      <c r="K165" s="54"/>
      <c r="M165" s="52"/>
    </row>
    <row r="166" spans="1:13" x14ac:dyDescent="0.3">
      <c r="A166" s="13" t="s">
        <v>1604</v>
      </c>
      <c r="B166" s="16">
        <f>'Ref. ACS-5-YR'!H989</f>
        <v>233</v>
      </c>
      <c r="C166" s="55">
        <f>'Ref. ACS-5-YR'!I989</f>
        <v>0.20896860986547086</v>
      </c>
      <c r="D166" s="16">
        <f>'Ref. ACS-5-YR'!R989</f>
        <v>614</v>
      </c>
      <c r="E166" s="55">
        <f>'Ref. ACS-5-YR'!S989</f>
        <v>0.10231628061989669</v>
      </c>
      <c r="F166" s="16">
        <f>'Ref. ACS-5-YR'!AB989</f>
        <v>227993</v>
      </c>
      <c r="G166" s="55">
        <f>'Ref. ACS-5-YR'!AC989</f>
        <v>0.20599999999999999</v>
      </c>
      <c r="H166" s="54"/>
      <c r="I166" s="54"/>
      <c r="J166" s="54"/>
      <c r="K166" s="54"/>
      <c r="L166" s="271"/>
    </row>
    <row r="167" spans="1:13" x14ac:dyDescent="0.3">
      <c r="A167" s="13" t="s">
        <v>1605</v>
      </c>
      <c r="B167" s="16">
        <f>'Ref. ACS-5-YR'!H990</f>
        <v>82</v>
      </c>
      <c r="C167" s="55">
        <f>'Ref. ACS-5-YR'!I990</f>
        <v>7.3542600896860988E-2</v>
      </c>
      <c r="D167" s="16">
        <f>'Ref. ACS-5-YR'!R990</f>
        <v>152</v>
      </c>
      <c r="E167" s="55">
        <f>'Ref. ACS-5-YR'!S990</f>
        <v>2.532911181469755E-2</v>
      </c>
      <c r="F167" s="16">
        <f>'Ref. ACS-5-YR'!AB990</f>
        <v>54898</v>
      </c>
      <c r="G167" s="55">
        <f>'Ref. ACS-5-YR'!AC990</f>
        <v>0.05</v>
      </c>
      <c r="H167" s="54"/>
      <c r="I167" s="54"/>
      <c r="J167" s="54"/>
      <c r="K167" s="54"/>
      <c r="L167" s="270"/>
    </row>
    <row r="168" spans="1:13" x14ac:dyDescent="0.3">
      <c r="A168" s="13" t="s">
        <v>1606</v>
      </c>
      <c r="B168" s="16">
        <f>'Ref. ACS-5-YR'!H991</f>
        <v>107</v>
      </c>
      <c r="C168" s="55">
        <f>'Ref. ACS-5-YR'!I991</f>
        <v>9.5964125560538113E-2</v>
      </c>
      <c r="D168" s="16">
        <f>'Ref. ACS-5-YR'!R991</f>
        <v>546</v>
      </c>
      <c r="E168" s="55">
        <f>'Ref. ACS-5-YR'!S991</f>
        <v>9.098483586068988E-2</v>
      </c>
      <c r="F168" s="16">
        <f>'Ref. ACS-5-YR'!AB991</f>
        <v>77702</v>
      </c>
      <c r="G168" s="55">
        <f>'Ref. ACS-5-YR'!AC991</f>
        <v>7.0000000000000007E-2</v>
      </c>
      <c r="H168" s="54"/>
      <c r="I168" s="54"/>
      <c r="J168" s="54"/>
      <c r="K168" s="54"/>
      <c r="L168" s="270"/>
    </row>
    <row r="169" spans="1:13" x14ac:dyDescent="0.3">
      <c r="A169" s="13" t="s">
        <v>1607</v>
      </c>
      <c r="B169" s="16">
        <f>'Ref. ACS-5-YR'!H992</f>
        <v>82</v>
      </c>
      <c r="C169" s="55">
        <f>'Ref. ACS-5-YR'!I992</f>
        <v>7.3542600896860988E-2</v>
      </c>
      <c r="D169" s="16">
        <f>'Ref. ACS-5-YR'!R992</f>
        <v>280</v>
      </c>
      <c r="E169" s="55">
        <f>'Ref. ACS-5-YR'!S992</f>
        <v>4.6658890184969173E-2</v>
      </c>
      <c r="F169" s="16">
        <f>'Ref. ACS-5-YR'!AB992</f>
        <v>53437</v>
      </c>
      <c r="G169" s="55">
        <f>'Ref. ACS-5-YR'!AC992</f>
        <v>4.8000000000000001E-2</v>
      </c>
      <c r="H169" s="54"/>
      <c r="I169" s="54"/>
      <c r="J169" s="54"/>
      <c r="K169" s="54"/>
      <c r="L169" s="270"/>
    </row>
    <row r="170" spans="1:13" x14ac:dyDescent="0.3">
      <c r="A170" s="13" t="s">
        <v>1608</v>
      </c>
      <c r="B170" s="16">
        <f>'Ref. ACS-5-YR'!H993</f>
        <v>104</v>
      </c>
      <c r="C170" s="55">
        <f>'Ref. ACS-5-YR'!I993</f>
        <v>9.3273542600896861E-2</v>
      </c>
      <c r="D170" s="16">
        <f>'Ref. ACS-5-YR'!R993</f>
        <v>2487</v>
      </c>
      <c r="E170" s="55">
        <f>'Ref. ACS-5-YR'!S993</f>
        <v>0.41443092817863691</v>
      </c>
      <c r="F170" s="16">
        <f>'Ref. ACS-5-YR'!AB993</f>
        <v>378023</v>
      </c>
      <c r="G170" s="55">
        <f>'Ref. ACS-5-YR'!AC993</f>
        <v>0.34100000000000003</v>
      </c>
      <c r="H170" s="54"/>
      <c r="I170" s="54"/>
      <c r="J170" s="54"/>
      <c r="K170" s="54"/>
      <c r="L170" s="270"/>
    </row>
    <row r="171" spans="1:13" x14ac:dyDescent="0.3">
      <c r="A171" s="13" t="s">
        <v>1609</v>
      </c>
      <c r="B171" s="16">
        <f>'Ref. ACS-5-YR'!H994</f>
        <v>0</v>
      </c>
      <c r="C171" s="55">
        <f>'Ref. ACS-5-YR'!I994</f>
        <v>0</v>
      </c>
      <c r="D171" s="16">
        <f>'Ref. ACS-5-YR'!R994</f>
        <v>105</v>
      </c>
      <c r="E171" s="55">
        <f>'Ref. ACS-5-YR'!S994</f>
        <v>1.7497083819363438E-2</v>
      </c>
      <c r="F171" s="16">
        <f>'Ref. ACS-5-YR'!AB994</f>
        <v>3326</v>
      </c>
      <c r="G171" s="55">
        <f>'Ref. ACS-5-YR'!AC994</f>
        <v>3.0000000000000001E-3</v>
      </c>
      <c r="H171" s="54"/>
      <c r="I171" s="54"/>
      <c r="J171" s="54"/>
      <c r="K171" s="54"/>
      <c r="L171" s="270"/>
    </row>
    <row r="172" spans="1:13" x14ac:dyDescent="0.3">
      <c r="A172" s="13" t="s">
        <v>1610</v>
      </c>
      <c r="B172" s="16">
        <f>'Ref. ACS-5-YR'!H995</f>
        <v>507</v>
      </c>
      <c r="C172" s="55">
        <f>'Ref. ACS-5-YR'!I995</f>
        <v>0.45470852017937219</v>
      </c>
      <c r="D172" s="16">
        <f>'Ref. ACS-5-YR'!R995</f>
        <v>1817</v>
      </c>
      <c r="E172" s="55">
        <f>'Ref. ACS-5-YR'!S995</f>
        <v>0.30278286952174638</v>
      </c>
      <c r="F172" s="16">
        <f>'Ref. ACS-5-YR'!AB995</f>
        <v>312452</v>
      </c>
      <c r="G172" s="55">
        <f>'Ref. ACS-5-YR'!AC995</f>
        <v>0.28199999999999997</v>
      </c>
      <c r="H172" s="54"/>
      <c r="I172" s="54"/>
      <c r="J172" s="54"/>
      <c r="K172" s="54"/>
      <c r="L172" s="270"/>
    </row>
    <row r="173" spans="1:13" x14ac:dyDescent="0.3">
      <c r="A173" t="s">
        <v>1611</v>
      </c>
      <c r="L173" s="283"/>
    </row>
    <row r="174" spans="1:13" x14ac:dyDescent="0.3">
      <c r="A174" s="368" t="s">
        <v>2478</v>
      </c>
      <c r="B174" s="368"/>
      <c r="C174" s="368"/>
      <c r="D174" s="368"/>
      <c r="E174" s="368"/>
      <c r="F174" s="368"/>
      <c r="G174" s="368"/>
      <c r="H174" s="368"/>
      <c r="I174" s="368"/>
      <c r="J174" s="368"/>
      <c r="K174" s="368"/>
      <c r="L174" s="283"/>
    </row>
    <row r="175" spans="1:13" ht="14.4" customHeight="1" x14ac:dyDescent="0.3">
      <c r="A175" s="368"/>
      <c r="B175" s="368"/>
      <c r="C175" s="368"/>
      <c r="D175" s="368"/>
      <c r="E175" s="368"/>
      <c r="F175" s="368"/>
      <c r="G175" s="368"/>
      <c r="H175" s="368"/>
      <c r="I175" s="368"/>
      <c r="J175" s="368"/>
      <c r="K175" s="368"/>
      <c r="L175" s="283"/>
    </row>
    <row r="176" spans="1:13" x14ac:dyDescent="0.3">
      <c r="A176" s="368"/>
      <c r="B176" s="368"/>
      <c r="C176" s="368"/>
      <c r="D176" s="368"/>
      <c r="E176" s="368"/>
      <c r="F176" s="368"/>
      <c r="G176" s="368"/>
      <c r="H176" s="368"/>
      <c r="I176" s="368"/>
      <c r="J176" s="368"/>
      <c r="K176" s="368"/>
      <c r="L176" s="283"/>
    </row>
    <row r="177" spans="1:13" x14ac:dyDescent="0.3">
      <c r="A177" s="368"/>
      <c r="B177" s="368"/>
      <c r="C177" s="368"/>
      <c r="D177" s="368"/>
      <c r="E177" s="368"/>
      <c r="F177" s="368"/>
      <c r="G177" s="368"/>
      <c r="H177" s="368"/>
      <c r="I177" s="368"/>
      <c r="J177" s="368"/>
      <c r="K177" s="368"/>
      <c r="L177" s="283"/>
    </row>
    <row r="178" spans="1:13" x14ac:dyDescent="0.3">
      <c r="A178" s="368"/>
      <c r="B178" s="368"/>
      <c r="C178" s="368"/>
      <c r="D178" s="368"/>
      <c r="E178" s="368"/>
      <c r="F178" s="368"/>
      <c r="G178" s="368"/>
      <c r="H178" s="368"/>
      <c r="I178" s="368"/>
      <c r="J178" s="368"/>
      <c r="K178" s="368"/>
      <c r="L178" s="283"/>
      <c r="M178" s="42" t="str">
        <f>A173</f>
        <v>Source: U.S. Census Bureau, ACS 16-20 (5-year Estimates), Table B25004</v>
      </c>
    </row>
    <row r="179" spans="1:13" ht="14.4" customHeight="1" x14ac:dyDescent="0.3">
      <c r="A179" s="368"/>
      <c r="B179" s="368"/>
      <c r="C179" s="368"/>
      <c r="D179" s="368"/>
      <c r="E179" s="368"/>
      <c r="F179" s="368"/>
      <c r="G179" s="368"/>
      <c r="H179" s="368"/>
      <c r="I179" s="368"/>
      <c r="J179" s="368"/>
      <c r="K179" s="368"/>
      <c r="L179" s="283"/>
    </row>
    <row r="180" spans="1:13" x14ac:dyDescent="0.3">
      <c r="A180" s="368"/>
      <c r="B180" s="368"/>
      <c r="C180" s="368"/>
      <c r="D180" s="368"/>
      <c r="E180" s="368"/>
      <c r="F180" s="368"/>
      <c r="G180" s="368"/>
      <c r="H180" s="368"/>
      <c r="I180" s="368"/>
      <c r="J180" s="368"/>
      <c r="K180" s="368"/>
      <c r="L180" s="283"/>
    </row>
    <row r="181" spans="1:13" x14ac:dyDescent="0.3">
      <c r="A181" s="368"/>
      <c r="B181" s="368"/>
      <c r="C181" s="368"/>
      <c r="D181" s="368"/>
      <c r="E181" s="368"/>
      <c r="F181" s="368"/>
      <c r="G181" s="368"/>
      <c r="H181" s="368"/>
      <c r="I181" s="368"/>
      <c r="J181" s="368"/>
      <c r="K181" s="368"/>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1612</v>
      </c>
      <c r="C184" s="114" t="s">
        <v>179</v>
      </c>
      <c r="D184" s="114"/>
      <c r="E184" s="114" t="s">
        <v>179</v>
      </c>
      <c r="F184" s="114"/>
      <c r="G184" s="114" t="s">
        <v>179</v>
      </c>
      <c r="M184" s="61" t="s">
        <v>2501</v>
      </c>
    </row>
    <row r="185" spans="1:13" ht="28.2" customHeight="1" x14ac:dyDescent="0.3">
      <c r="A185" s="80"/>
      <c r="B185" s="60" t="str">
        <f>B3</f>
        <v>City of Madera</v>
      </c>
      <c r="C185" s="60" t="str">
        <f>B3</f>
        <v>City of Madera</v>
      </c>
      <c r="D185" s="60" t="str">
        <f>B4</f>
        <v>Madera County</v>
      </c>
      <c r="E185" s="60" t="str">
        <f>B4</f>
        <v>Madera County</v>
      </c>
      <c r="F185" s="60" t="s">
        <v>173</v>
      </c>
      <c r="G185" s="60" t="s">
        <v>173</v>
      </c>
      <c r="H185" s="58"/>
      <c r="I185" s="58"/>
      <c r="J185" s="58"/>
      <c r="K185" s="58"/>
      <c r="L185" s="271"/>
    </row>
    <row r="186" spans="1:13" x14ac:dyDescent="0.3">
      <c r="A186" s="13" t="s">
        <v>174</v>
      </c>
      <c r="B186" s="16">
        <f>'Ref. ACS-5-YR'!H1049</f>
        <v>17598</v>
      </c>
      <c r="C186" s="55"/>
      <c r="D186" s="16">
        <f>'Ref. ACS-5-YR'!R1049</f>
        <v>44479</v>
      </c>
      <c r="E186" s="55"/>
      <c r="F186" s="16">
        <f>'Ref. ACS-5-YR'!AB1049</f>
        <v>13103114</v>
      </c>
      <c r="G186" s="55"/>
      <c r="H186" s="54"/>
      <c r="I186" s="54"/>
      <c r="J186" s="54"/>
      <c r="K186" s="54"/>
      <c r="L186" s="270"/>
      <c r="M186" s="84"/>
    </row>
    <row r="187" spans="1:13" x14ac:dyDescent="0.3">
      <c r="A187" s="13" t="s">
        <v>1613</v>
      </c>
      <c r="B187" s="16">
        <f>'Ref. ACS-5-YR'!H1051+'Ref. ACS-5-YR'!H1057</f>
        <v>7161</v>
      </c>
      <c r="C187" s="55">
        <f>'Ref. ACS-5-YR'!I1051+'Ref. ACS-5-YR'!I1057</f>
        <v>0.40692124105011934</v>
      </c>
      <c r="D187" s="16">
        <f>'Ref. ACS-5-YR'!R1051+'Ref. ACS-5-YR'!R1057</f>
        <v>23836</v>
      </c>
      <c r="E187" s="55">
        <f>'Ref. ACS-5-YR'!S1051+'Ref. ACS-5-YR'!S1057</f>
        <v>0.53589334292587509</v>
      </c>
      <c r="F187" s="16">
        <f>'Ref. ACS-5-YR'!AB1051+'Ref. ACS-5-YR'!AB1057</f>
        <v>7507254</v>
      </c>
      <c r="G187" s="55">
        <f>'Ref. ACS-5-YR'!AC1051+'Ref. ACS-5-YR'!AC1057</f>
        <v>0.57299999999999995</v>
      </c>
      <c r="H187" s="54"/>
      <c r="I187" s="54"/>
      <c r="J187" s="54"/>
      <c r="K187" s="54"/>
      <c r="L187" s="270"/>
      <c r="M187" s="84"/>
    </row>
    <row r="188" spans="1:13" x14ac:dyDescent="0.3">
      <c r="A188" s="13" t="s">
        <v>1614</v>
      </c>
      <c r="B188" s="16">
        <f>'Ref. ACS-5-YR'!H1052+'Ref. ACS-5-YR'!H1058</f>
        <v>7615</v>
      </c>
      <c r="C188" s="55">
        <f>'Ref. ACS-5-YR'!I1052+'Ref. ACS-5-YR'!I1058</f>
        <v>0.43271962723036711</v>
      </c>
      <c r="D188" s="16">
        <f>'Ref. ACS-5-YR'!R1052+'Ref. ACS-5-YR'!R1058</f>
        <v>15803</v>
      </c>
      <c r="E188" s="55">
        <f>'Ref. ACS-5-YR'!S1052+'Ref. ACS-5-YR'!S1058</f>
        <v>0.3552912610445379</v>
      </c>
      <c r="F188" s="16">
        <f>'Ref. ACS-5-YR'!AB1052+'Ref. ACS-5-YR'!AB1058</f>
        <v>4520122</v>
      </c>
      <c r="G188" s="55">
        <f>'Ref. ACS-5-YR'!AC1052+'Ref. ACS-5-YR'!AC1058</f>
        <v>0.34499999999999997</v>
      </c>
      <c r="H188" s="54"/>
      <c r="I188" s="54"/>
      <c r="J188" s="54"/>
      <c r="K188" s="54"/>
      <c r="L188" s="270"/>
      <c r="M188" s="84"/>
    </row>
    <row r="189" spans="1:13" x14ac:dyDescent="0.3">
      <c r="A189" s="13" t="s">
        <v>1615</v>
      </c>
      <c r="B189" s="16">
        <f>'Ref. ACS-5-YR'!H1053+'Ref. ACS-5-YR'!H1059</f>
        <v>1990</v>
      </c>
      <c r="C189" s="55">
        <f>'Ref. ACS-5-YR'!I1053+'Ref. ACS-5-YR'!I1059</f>
        <v>0.11308103193544722</v>
      </c>
      <c r="D189" s="16">
        <f>'Ref. ACS-5-YR'!R1053+'Ref. ACS-5-YR'!R1059</f>
        <v>3564</v>
      </c>
      <c r="E189" s="55">
        <f>'Ref. ACS-5-YR'!S1053+'Ref. ACS-5-YR'!S1059</f>
        <v>8.0127700712695885E-2</v>
      </c>
      <c r="F189" s="16">
        <f>'Ref. ACS-5-YR'!AB1053+'Ref. ACS-5-YR'!AB1059</f>
        <v>680753</v>
      </c>
      <c r="G189" s="55">
        <f>'Ref. ACS-5-YR'!AC1053+'Ref. ACS-5-YR'!AC1059</f>
        <v>5.2000000000000005E-2</v>
      </c>
      <c r="H189" s="54"/>
      <c r="I189" s="54"/>
      <c r="J189" s="54"/>
      <c r="K189" s="54"/>
      <c r="M189" s="84"/>
    </row>
    <row r="190" spans="1:13" x14ac:dyDescent="0.3">
      <c r="A190" s="13" t="s">
        <v>1616</v>
      </c>
      <c r="B190" s="16">
        <f>'Ref. ACS-5-YR'!H1054+'Ref. ACS-5-YR'!H1060</f>
        <v>520</v>
      </c>
      <c r="C190" s="55">
        <f>'Ref. ACS-5-YR'!I1054+'Ref. ACS-5-YR'!I1060</f>
        <v>2.954881236504148E-2</v>
      </c>
      <c r="D190" s="16">
        <f>'Ref. ACS-5-YR'!R1054+'Ref. ACS-5-YR'!R1060</f>
        <v>876</v>
      </c>
      <c r="E190" s="55">
        <f>'Ref. ACS-5-YR'!S1054+'Ref. ACS-5-YR'!S1060</f>
        <v>1.9694687380561612E-2</v>
      </c>
      <c r="F190" s="16">
        <f>'Ref. ACS-5-YR'!AB1054+'Ref. ACS-5-YR'!AB1060</f>
        <v>287225</v>
      </c>
      <c r="G190" s="55">
        <f>'Ref. ACS-5-YR'!AC1054+'Ref. ACS-5-YR'!AC1060</f>
        <v>2.1999999999999999E-2</v>
      </c>
      <c r="H190" s="54"/>
      <c r="I190" s="54"/>
      <c r="J190" s="54"/>
      <c r="K190" s="54"/>
      <c r="M190" s="84"/>
    </row>
    <row r="191" spans="1:13" x14ac:dyDescent="0.3">
      <c r="A191" s="13" t="s">
        <v>1617</v>
      </c>
      <c r="B191" s="16">
        <f>'Ref. ACS-5-YR'!H1055+'Ref. ACS-5-YR'!H1061</f>
        <v>312</v>
      </c>
      <c r="C191" s="55">
        <f>'Ref. ACS-5-YR'!I1055+'Ref. ACS-5-YR'!I1061</f>
        <v>1.7729287419024888E-2</v>
      </c>
      <c r="D191" s="16">
        <f>'Ref. ACS-5-YR'!R1055+'Ref. ACS-5-YR'!R1061</f>
        <v>400</v>
      </c>
      <c r="E191" s="55">
        <f>'Ref. ACS-5-YR'!S1055+'Ref. ACS-5-YR'!S1061</f>
        <v>8.9930079363295043E-3</v>
      </c>
      <c r="F191" s="16">
        <f>'Ref. ACS-5-YR'!AB1055+'Ref. ACS-5-YR'!AB1061</f>
        <v>107760</v>
      </c>
      <c r="G191" s="55">
        <f>'Ref. ACS-5-YR'!AC1055+'Ref. ACS-5-YR'!AC1061</f>
        <v>8.0000000000000002E-3</v>
      </c>
      <c r="H191" s="54"/>
      <c r="I191" s="54"/>
      <c r="J191" s="54"/>
      <c r="K191" s="54"/>
      <c r="M191" s="84"/>
    </row>
    <row r="192" spans="1:13" x14ac:dyDescent="0.3">
      <c r="A192" t="s">
        <v>2437</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2502</v>
      </c>
    </row>
    <row r="198" spans="1:13" x14ac:dyDescent="0.3">
      <c r="B198" s="85"/>
      <c r="C198" s="85"/>
      <c r="D198" s="85"/>
      <c r="E198" s="85"/>
      <c r="F198" s="85"/>
      <c r="G198" s="85"/>
      <c r="H198" s="85"/>
      <c r="I198" s="85"/>
      <c r="J198" s="85"/>
      <c r="K198" s="85"/>
      <c r="L198" s="270"/>
      <c r="M198" s="96"/>
    </row>
    <row r="199" spans="1:13" x14ac:dyDescent="0.3">
      <c r="A199" s="1" t="s">
        <v>1618</v>
      </c>
      <c r="C199" s="114" t="s">
        <v>179</v>
      </c>
      <c r="D199" s="114"/>
      <c r="E199" s="114" t="s">
        <v>179</v>
      </c>
      <c r="F199" s="114"/>
      <c r="G199" s="114" t="s">
        <v>179</v>
      </c>
      <c r="H199" s="85"/>
      <c r="I199" s="85"/>
      <c r="J199" s="85"/>
      <c r="K199" s="85"/>
      <c r="L199" s="270"/>
      <c r="M199" s="61" t="s">
        <v>2510</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15857</v>
      </c>
      <c r="C201" s="55"/>
      <c r="D201" s="16">
        <f>'Ref. ACS-5-YR'!E1049</f>
        <v>16791</v>
      </c>
      <c r="E201" s="55"/>
      <c r="F201" s="16">
        <f>'Ref. ACS-5-YR'!H1049</f>
        <v>17598</v>
      </c>
      <c r="G201" s="55"/>
      <c r="H201" s="85"/>
      <c r="I201" s="85"/>
      <c r="J201" s="85"/>
      <c r="K201" s="85"/>
      <c r="L201" s="270"/>
      <c r="M201" s="96"/>
    </row>
    <row r="202" spans="1:13" x14ac:dyDescent="0.3">
      <c r="A202" s="13" t="s">
        <v>1588</v>
      </c>
      <c r="B202" s="16">
        <f>'Ref. ACS-5-YR'!B1050</f>
        <v>8081</v>
      </c>
      <c r="C202" s="55">
        <f>'Ref. ACS-5-YR'!C1050</f>
        <v>0.50961720375859243</v>
      </c>
      <c r="D202" s="16">
        <f>'Ref. ACS-5-YR'!E1050</f>
        <v>8016</v>
      </c>
      <c r="E202" s="55">
        <f>'Ref. ACS-5-YR'!F1050</f>
        <v>0.47739860639628373</v>
      </c>
      <c r="F202" s="16">
        <f>'Ref. ACS-5-YR'!H1050</f>
        <v>8909</v>
      </c>
      <c r="G202" s="55">
        <f>'Ref. ACS-5-YR'!I1050</f>
        <v>0.50625071030798952</v>
      </c>
      <c r="H202" s="85"/>
      <c r="I202" s="85"/>
      <c r="J202" s="85"/>
      <c r="K202" s="85"/>
      <c r="L202" s="270"/>
      <c r="M202" s="96"/>
    </row>
    <row r="203" spans="1:13" x14ac:dyDescent="0.3">
      <c r="A203" s="13" t="s">
        <v>1619</v>
      </c>
      <c r="B203" s="16">
        <f>'Ref. ACS-5-YR'!B1051</f>
        <v>4508</v>
      </c>
      <c r="C203" s="55">
        <f>B203/$B$202</f>
        <v>0.55785175102091322</v>
      </c>
      <c r="D203" s="16">
        <f>'Ref. ACS-5-YR'!E1051</f>
        <v>4132</v>
      </c>
      <c r="E203" s="55">
        <f>D203/$D$202</f>
        <v>0.51546906187624753</v>
      </c>
      <c r="F203" s="16">
        <f>'Ref. ACS-5-YR'!H1051</f>
        <v>4680</v>
      </c>
      <c r="G203" s="55">
        <f>F203/$F$202</f>
        <v>0.52531148277023232</v>
      </c>
      <c r="H203" s="85"/>
      <c r="I203" s="85"/>
      <c r="J203" s="85"/>
      <c r="K203" s="85"/>
      <c r="L203" s="270"/>
      <c r="M203" s="96"/>
    </row>
    <row r="204" spans="1:13" x14ac:dyDescent="0.3">
      <c r="A204" s="13" t="s">
        <v>1620</v>
      </c>
      <c r="B204" s="16">
        <f>'Ref. ACS-5-YR'!B1052</f>
        <v>3000</v>
      </c>
      <c r="C204" s="55">
        <f t="shared" ref="C204:C207" si="0">B204/$B$202</f>
        <v>0.37124118302190323</v>
      </c>
      <c r="D204" s="16">
        <f>'Ref. ACS-5-YR'!E1052</f>
        <v>3240</v>
      </c>
      <c r="E204" s="55">
        <f t="shared" ref="E204:E207" si="1">D204/$D$202</f>
        <v>0.40419161676646709</v>
      </c>
      <c r="F204" s="16">
        <f>'Ref. ACS-5-YR'!H1052</f>
        <v>3623</v>
      </c>
      <c r="G204" s="55">
        <f t="shared" ref="G204:G207" si="2">F204/$F$202</f>
        <v>0.40666741497362219</v>
      </c>
      <c r="H204" s="85"/>
      <c r="I204" s="85"/>
      <c r="J204" s="85"/>
      <c r="K204" s="85"/>
      <c r="L204" s="270"/>
      <c r="M204" s="96"/>
    </row>
    <row r="205" spans="1:13" x14ac:dyDescent="0.3">
      <c r="A205" s="13" t="s">
        <v>1621</v>
      </c>
      <c r="B205" s="16">
        <f>'Ref. ACS-5-YR'!B1053</f>
        <v>398</v>
      </c>
      <c r="C205" s="55">
        <f t="shared" si="0"/>
        <v>4.9251330280905829E-2</v>
      </c>
      <c r="D205" s="16">
        <f>'Ref. ACS-5-YR'!E1053</f>
        <v>533</v>
      </c>
      <c r="E205" s="55">
        <f t="shared" si="1"/>
        <v>6.6492015968063867E-2</v>
      </c>
      <c r="F205" s="16">
        <f>'Ref. ACS-5-YR'!H1053</f>
        <v>447</v>
      </c>
      <c r="G205" s="55">
        <f t="shared" si="2"/>
        <v>5.0173981367156804E-2</v>
      </c>
      <c r="H205" s="85"/>
      <c r="I205" s="85"/>
      <c r="J205" s="85"/>
      <c r="K205" s="85"/>
      <c r="L205" s="270"/>
      <c r="M205" s="96"/>
    </row>
    <row r="206" spans="1:13" x14ac:dyDescent="0.3">
      <c r="A206" s="13" t="s">
        <v>1622</v>
      </c>
      <c r="B206" s="16">
        <f>'Ref. ACS-5-YR'!B1054</f>
        <v>173</v>
      </c>
      <c r="C206" s="55">
        <f t="shared" si="0"/>
        <v>2.1408241554263085E-2</v>
      </c>
      <c r="D206" s="16">
        <f>'Ref. ACS-5-YR'!E1054</f>
        <v>55</v>
      </c>
      <c r="E206" s="55">
        <f t="shared" si="1"/>
        <v>6.8612774451097805E-3</v>
      </c>
      <c r="F206" s="16">
        <f>'Ref. ACS-5-YR'!H1054</f>
        <v>130</v>
      </c>
      <c r="G206" s="55">
        <f t="shared" si="2"/>
        <v>1.4591985632506453E-2</v>
      </c>
      <c r="H206" s="85"/>
      <c r="I206" s="85"/>
      <c r="J206" s="85"/>
      <c r="K206" s="85"/>
      <c r="L206" s="270"/>
      <c r="M206" s="96"/>
    </row>
    <row r="207" spans="1:13" x14ac:dyDescent="0.3">
      <c r="A207" s="13" t="s">
        <v>1623</v>
      </c>
      <c r="B207" s="16">
        <f>'Ref. ACS-5-YR'!B1055</f>
        <v>2</v>
      </c>
      <c r="C207" s="55">
        <f t="shared" si="0"/>
        <v>2.4749412201460216E-4</v>
      </c>
      <c r="D207" s="16">
        <f>'Ref. ACS-5-YR'!E1055</f>
        <v>56</v>
      </c>
      <c r="E207" s="55">
        <f t="shared" si="1"/>
        <v>6.9860279441117763E-3</v>
      </c>
      <c r="F207" s="16">
        <f>'Ref. ACS-5-YR'!H1055</f>
        <v>29</v>
      </c>
      <c r="G207" s="55">
        <f t="shared" si="2"/>
        <v>3.2551352564822089E-3</v>
      </c>
      <c r="H207" s="85"/>
      <c r="I207" s="85"/>
      <c r="J207" s="85"/>
      <c r="K207" s="85"/>
      <c r="L207" s="270"/>
      <c r="M207" s="96"/>
    </row>
    <row r="208" spans="1:13" x14ac:dyDescent="0.3">
      <c r="A208" s="13" t="s">
        <v>1591</v>
      </c>
      <c r="B208" s="16">
        <f>'Ref. ACS-5-YR'!B1056</f>
        <v>7776</v>
      </c>
      <c r="C208" s="55">
        <f>'Ref. ACS-5-YR'!C1056</f>
        <v>0.49038279624140757</v>
      </c>
      <c r="D208" s="16">
        <f>'Ref. ACS-5-YR'!E1056</f>
        <v>8775</v>
      </c>
      <c r="E208" s="55">
        <f>'Ref. ACS-5-YR'!F1056</f>
        <v>0.52260139360371627</v>
      </c>
      <c r="F208" s="16">
        <f>'Ref. ACS-5-YR'!H1056</f>
        <v>8689</v>
      </c>
      <c r="G208" s="55">
        <f>'Ref. ACS-5-YR'!I1056</f>
        <v>0.49374928969201043</v>
      </c>
      <c r="H208" s="85"/>
      <c r="I208" s="85"/>
      <c r="J208" s="85"/>
      <c r="K208" s="85"/>
      <c r="L208" s="270"/>
      <c r="M208" s="96"/>
    </row>
    <row r="209" spans="1:13" x14ac:dyDescent="0.3">
      <c r="A209" s="13" t="s">
        <v>1624</v>
      </c>
      <c r="B209" s="16">
        <f>'Ref. ACS-5-YR'!B1057</f>
        <v>2345</v>
      </c>
      <c r="C209" s="55">
        <f>B209/$B$202</f>
        <v>0.29018685806212102</v>
      </c>
      <c r="D209" s="16">
        <f>'Ref. ACS-5-YR'!E1057</f>
        <v>2750</v>
      </c>
      <c r="E209" s="55">
        <f>D209/$D$208</f>
        <v>0.31339031339031337</v>
      </c>
      <c r="F209" s="16">
        <f>'Ref. ACS-5-YR'!H1057</f>
        <v>2481</v>
      </c>
      <c r="G209" s="55">
        <f>F209/$F$208</f>
        <v>0.28553343307630336</v>
      </c>
      <c r="H209" s="85"/>
      <c r="I209" s="85"/>
      <c r="J209" s="85"/>
      <c r="K209" s="85"/>
      <c r="L209" s="270"/>
      <c r="M209" s="96"/>
    </row>
    <row r="210" spans="1:13" x14ac:dyDescent="0.3">
      <c r="A210" s="13" t="s">
        <v>1625</v>
      </c>
      <c r="B210" s="16">
        <f>'Ref. ACS-5-YR'!B1058</f>
        <v>3265</v>
      </c>
      <c r="C210" s="55">
        <f t="shared" ref="C210:C213" si="3">B210/$B$202</f>
        <v>0.40403415418883804</v>
      </c>
      <c r="D210" s="16">
        <f>'Ref. ACS-5-YR'!E1058</f>
        <v>4334</v>
      </c>
      <c r="E210" s="55">
        <f t="shared" ref="E210:E213" si="4">D210/$D$208</f>
        <v>0.4939031339031339</v>
      </c>
      <c r="F210" s="16">
        <f>'Ref. ACS-5-YR'!H1058</f>
        <v>3992</v>
      </c>
      <c r="G210" s="55">
        <f t="shared" ref="G210:G213" si="5">F210/$F$208</f>
        <v>0.45943146507077914</v>
      </c>
      <c r="H210" s="85"/>
      <c r="I210" s="85"/>
      <c r="J210" s="85"/>
      <c r="K210" s="85"/>
      <c r="L210" s="270"/>
      <c r="M210" s="96"/>
    </row>
    <row r="211" spans="1:13" x14ac:dyDescent="0.3">
      <c r="A211" s="13" t="s">
        <v>1626</v>
      </c>
      <c r="B211" s="16">
        <f>'Ref. ACS-5-YR'!B1059</f>
        <v>1039</v>
      </c>
      <c r="C211" s="55">
        <f t="shared" si="3"/>
        <v>0.12857319638658582</v>
      </c>
      <c r="D211" s="16">
        <f>'Ref. ACS-5-YR'!E1059</f>
        <v>1226</v>
      </c>
      <c r="E211" s="55">
        <f t="shared" si="4"/>
        <v>0.13971509971509971</v>
      </c>
      <c r="F211" s="16">
        <f>'Ref. ACS-5-YR'!H1059</f>
        <v>1543</v>
      </c>
      <c r="G211" s="55">
        <f t="shared" si="5"/>
        <v>0.17758084934975257</v>
      </c>
      <c r="H211" s="85"/>
      <c r="I211" s="85"/>
      <c r="J211" s="85"/>
      <c r="K211" s="85"/>
      <c r="L211" s="270"/>
      <c r="M211" s="96"/>
    </row>
    <row r="212" spans="1:13" x14ac:dyDescent="0.3">
      <c r="A212" s="13" t="s">
        <v>1627</v>
      </c>
      <c r="B212" s="16">
        <f>'Ref. ACS-5-YR'!B1060</f>
        <v>529</v>
      </c>
      <c r="C212" s="55">
        <f t="shared" si="3"/>
        <v>6.5462195272862275E-2</v>
      </c>
      <c r="D212" s="16">
        <f>'Ref. ACS-5-YR'!E1060</f>
        <v>364</v>
      </c>
      <c r="E212" s="55">
        <f t="shared" si="4"/>
        <v>4.148148148148148E-2</v>
      </c>
      <c r="F212" s="16">
        <f>'Ref. ACS-5-YR'!H1060</f>
        <v>390</v>
      </c>
      <c r="G212" s="55">
        <f t="shared" si="5"/>
        <v>4.4884336517435841E-2</v>
      </c>
      <c r="H212" s="85"/>
      <c r="I212" s="85"/>
      <c r="J212" s="85"/>
      <c r="K212" s="85"/>
      <c r="M212" s="84"/>
    </row>
    <row r="213" spans="1:13" x14ac:dyDescent="0.3">
      <c r="A213" s="13" t="s">
        <v>1628</v>
      </c>
      <c r="B213" s="16">
        <f>'Ref. ACS-5-YR'!B1061</f>
        <v>598</v>
      </c>
      <c r="C213" s="55">
        <f t="shared" si="3"/>
        <v>7.4000742482366044E-2</v>
      </c>
      <c r="D213" s="16">
        <f>'Ref. ACS-5-YR'!E1061</f>
        <v>101</v>
      </c>
      <c r="E213" s="55">
        <f t="shared" si="4"/>
        <v>1.150997150997151E-2</v>
      </c>
      <c r="F213" s="16">
        <f>'Ref. ACS-5-YR'!H1061</f>
        <v>283</v>
      </c>
      <c r="G213" s="55">
        <f t="shared" si="5"/>
        <v>3.256991598572908E-2</v>
      </c>
      <c r="H213" s="85"/>
    </row>
    <row r="214" spans="1:13" x14ac:dyDescent="0.3">
      <c r="A214" t="s">
        <v>1629</v>
      </c>
      <c r="M214" s="42" t="str">
        <f>A214</f>
        <v>Source: U.S. Census Bureau, ACS 06-10, 11-15, 16-20 (5-year Estimates), Table B25014</v>
      </c>
    </row>
    <row r="215" spans="1:13" ht="43.2" x14ac:dyDescent="0.3">
      <c r="M215" s="84" t="s">
        <v>2502</v>
      </c>
    </row>
    <row r="217" spans="1:13" x14ac:dyDescent="0.3">
      <c r="A217" s="1" t="s">
        <v>1630</v>
      </c>
      <c r="M217" s="61" t="s">
        <v>1631</v>
      </c>
    </row>
    <row r="218" spans="1:13" ht="28.95" customHeight="1" x14ac:dyDescent="0.3">
      <c r="A218" s="48" t="s">
        <v>172</v>
      </c>
      <c r="B218" s="60" t="str">
        <f>B3</f>
        <v>City of Madera</v>
      </c>
      <c r="C218" s="60" t="s">
        <v>179</v>
      </c>
      <c r="D218" s="60" t="str">
        <f>B4</f>
        <v>Madera County</v>
      </c>
      <c r="E218" s="60" t="s">
        <v>179</v>
      </c>
      <c r="F218" s="60" t="s">
        <v>173</v>
      </c>
      <c r="G218" s="60" t="s">
        <v>179</v>
      </c>
      <c r="H218" s="58"/>
      <c r="I218" s="58"/>
      <c r="J218" s="58"/>
      <c r="K218" s="58"/>
      <c r="M218" s="37"/>
    </row>
    <row r="219" spans="1:13" x14ac:dyDescent="0.3">
      <c r="A219" s="7" t="s">
        <v>1545</v>
      </c>
      <c r="B219" s="16">
        <f>'Ref. ACS-5-YR'!H1145</f>
        <v>17598</v>
      </c>
      <c r="C219" s="55"/>
      <c r="D219" s="16">
        <f>'Ref. ACS-5-YR'!R1145</f>
        <v>44479</v>
      </c>
      <c r="E219" s="55"/>
      <c r="F219" s="16">
        <f>'Ref. ACS-5-YR'!AB1145</f>
        <v>13103114</v>
      </c>
      <c r="G219" s="55"/>
      <c r="H219" s="54"/>
      <c r="I219" s="54"/>
      <c r="J219" s="54"/>
      <c r="K219" s="54"/>
    </row>
    <row r="220" spans="1:13" x14ac:dyDescent="0.3">
      <c r="A220" s="13" t="s">
        <v>1381</v>
      </c>
      <c r="B220" s="16">
        <f>'Ref. ACS-5-YR'!H1146</f>
        <v>8909</v>
      </c>
      <c r="C220" s="55">
        <f>'Ref. ACS-5-YR'!I1146</f>
        <v>0.50625071030798952</v>
      </c>
      <c r="D220" s="16">
        <f>'Ref. ACS-5-YR'!R1146</f>
        <v>29270</v>
      </c>
      <c r="E220" s="55">
        <f>'Ref. ACS-5-YR'!S1146</f>
        <v>0.65806335574091146</v>
      </c>
      <c r="F220" s="16">
        <f>'Ref. ACS-5-YR'!AB1146</f>
        <v>7241318</v>
      </c>
      <c r="G220" s="55">
        <f>'Ref. ACS-5-YR'!AC1146</f>
        <v>0.55300000000000005</v>
      </c>
      <c r="H220" s="54"/>
      <c r="I220" s="54"/>
      <c r="J220" s="54"/>
      <c r="K220" s="54"/>
      <c r="L220" s="271"/>
    </row>
    <row r="221" spans="1:13" x14ac:dyDescent="0.3">
      <c r="A221" s="13" t="s">
        <v>1385</v>
      </c>
      <c r="B221" s="16">
        <f>'Ref. ACS-5-YR'!H1153</f>
        <v>8689</v>
      </c>
      <c r="C221" s="55">
        <f>'Ref. ACS-5-YR'!I1153</f>
        <v>0.49374928969201043</v>
      </c>
      <c r="D221" s="16">
        <f>'Ref. ACS-5-YR'!R1153</f>
        <v>15209</v>
      </c>
      <c r="E221" s="55">
        <f>'Ref. ACS-5-YR'!S1153</f>
        <v>0.34193664425908854</v>
      </c>
      <c r="F221" s="16">
        <f>'Ref. ACS-5-YR'!AB1153</f>
        <v>5861796</v>
      </c>
      <c r="G221" s="55">
        <f>'Ref. ACS-5-YR'!AC1153</f>
        <v>0.44700000000000001</v>
      </c>
      <c r="H221" s="54"/>
      <c r="I221" s="54"/>
      <c r="J221" s="54"/>
      <c r="K221" s="54"/>
      <c r="L221" s="270"/>
    </row>
    <row r="222" spans="1:13" x14ac:dyDescent="0.3">
      <c r="A222" t="s">
        <v>1632</v>
      </c>
      <c r="L222" s="270"/>
    </row>
    <row r="223" spans="1:13" x14ac:dyDescent="0.3">
      <c r="L223" s="270"/>
    </row>
    <row r="224" spans="1:13" x14ac:dyDescent="0.3">
      <c r="A224" s="1" t="s">
        <v>1633</v>
      </c>
      <c r="L224" s="270"/>
    </row>
    <row r="225" spans="1:13" x14ac:dyDescent="0.3">
      <c r="A225" s="80"/>
      <c r="B225" s="90" t="s">
        <v>1634</v>
      </c>
      <c r="C225" s="90" t="s">
        <v>1635</v>
      </c>
      <c r="D225" s="90" t="s">
        <v>1636</v>
      </c>
      <c r="E225" s="90" t="s">
        <v>1637</v>
      </c>
      <c r="F225" s="90">
        <v>2020</v>
      </c>
      <c r="H225" s="52"/>
      <c r="I225" s="52"/>
      <c r="J225" s="52"/>
      <c r="K225" s="52"/>
      <c r="L225" s="270"/>
    </row>
    <row r="226" spans="1:13" x14ac:dyDescent="0.3">
      <c r="A226" s="7" t="s">
        <v>1545</v>
      </c>
      <c r="B226" s="16">
        <f>B227+B229</f>
        <v>14253</v>
      </c>
      <c r="C226" s="16">
        <f>C227+C229</f>
        <v>9159</v>
      </c>
      <c r="D226" s="16">
        <f>D227+D229</f>
        <v>11978</v>
      </c>
      <c r="E226" s="16">
        <f>E227+E229</f>
        <v>15938</v>
      </c>
      <c r="F226" s="16">
        <f>'Ref. ACS-5-YR'!H1145</f>
        <v>17598</v>
      </c>
      <c r="H226" s="2"/>
      <c r="I226" s="2"/>
      <c r="J226" s="2"/>
      <c r="K226" s="2"/>
      <c r="L226" s="270"/>
    </row>
    <row r="227" spans="1:13" x14ac:dyDescent="0.3">
      <c r="A227" s="13" t="s">
        <v>1381</v>
      </c>
      <c r="B227" s="16">
        <f>'Ref. DC-1980'!B22</f>
        <v>6037</v>
      </c>
      <c r="C227" s="16">
        <f>'Ref. DC-1990'!B15</f>
        <v>4637</v>
      </c>
      <c r="D227" s="16">
        <f>'Ref. DC-2000'!B44</f>
        <v>6310</v>
      </c>
      <c r="E227" s="16">
        <f>'Ref. DC-2010'!B52+'Ref. DC-2010'!B53</f>
        <v>8096</v>
      </c>
      <c r="F227" s="16">
        <f>'Ref. ACS-5-YR'!H1146</f>
        <v>8909</v>
      </c>
      <c r="H227" s="2"/>
      <c r="I227" s="2"/>
      <c r="J227" s="2"/>
      <c r="K227" s="2"/>
      <c r="L227" s="270"/>
    </row>
    <row r="228" spans="1:13" x14ac:dyDescent="0.3">
      <c r="A228" s="13" t="s">
        <v>1396</v>
      </c>
      <c r="B228" s="55">
        <f>B227/(B227+B229)</f>
        <v>0.42355995229074583</v>
      </c>
      <c r="C228" s="55">
        <f>C227/(C227+C229)</f>
        <v>0.50627797794519047</v>
      </c>
      <c r="D228" s="55">
        <f>D227/(D227+D229)</f>
        <v>0.52679913174152615</v>
      </c>
      <c r="E228" s="55">
        <f>E227/(E227+E229)</f>
        <v>0.50796837746266787</v>
      </c>
      <c r="F228" s="55">
        <f>F227/(F227+F229)</f>
        <v>0.50625071030798952</v>
      </c>
      <c r="H228" s="54"/>
      <c r="I228" s="54"/>
      <c r="J228" s="54"/>
      <c r="K228" s="54"/>
      <c r="L228" s="270"/>
    </row>
    <row r="229" spans="1:13" x14ac:dyDescent="0.3">
      <c r="A229" s="13" t="s">
        <v>1385</v>
      </c>
      <c r="B229" s="16">
        <f>'Ref. DC-1980'!B21</f>
        <v>8216</v>
      </c>
      <c r="C229" s="16">
        <f>'Ref. DC-1990'!B16</f>
        <v>4522</v>
      </c>
      <c r="D229" s="16">
        <f>'Ref. DC-2000'!B45</f>
        <v>5668</v>
      </c>
      <c r="E229" s="16">
        <f>'Ref. DC-2010'!B54</f>
        <v>7842</v>
      </c>
      <c r="F229" s="16">
        <f>'Ref. ACS-5-YR'!H1153</f>
        <v>8689</v>
      </c>
      <c r="H229" s="2"/>
      <c r="I229" s="2"/>
      <c r="J229" s="2"/>
      <c r="K229" s="2"/>
      <c r="L229" s="270"/>
    </row>
    <row r="230" spans="1:13" x14ac:dyDescent="0.3">
      <c r="A230" s="13" t="s">
        <v>1388</v>
      </c>
      <c r="B230" s="55">
        <f>B229/(B229+B227)</f>
        <v>0.57644004770925417</v>
      </c>
      <c r="C230" s="55">
        <f>C229/(C229+C227)</f>
        <v>0.49372202205480947</v>
      </c>
      <c r="D230" s="55">
        <f>D229/(D229+D227)</f>
        <v>0.47320086825847385</v>
      </c>
      <c r="E230" s="55">
        <f>E229/(E229+E227)</f>
        <v>0.49203162253733218</v>
      </c>
      <c r="F230" s="55">
        <f>F229/(F229+F227)</f>
        <v>0.49374928969201043</v>
      </c>
      <c r="H230" s="54"/>
      <c r="I230" s="54"/>
      <c r="J230" s="54"/>
      <c r="K230" s="54"/>
      <c r="L230" s="270"/>
    </row>
    <row r="231" spans="1:13" x14ac:dyDescent="0.3">
      <c r="A231" t="s">
        <v>1638</v>
      </c>
      <c r="L231" s="270"/>
    </row>
    <row r="232" spans="1:13" ht="28.8" x14ac:dyDescent="0.3">
      <c r="L232" s="270"/>
      <c r="M232" s="42" t="str">
        <f>A231</f>
        <v>Source: U.S. Census Bureau, Census 1980(SF1), 1990(SF1), 2000(SF1); ACS 16-20 (5-year Estimates), Table B25042</v>
      </c>
    </row>
    <row r="233" spans="1:13" ht="57.6" x14ac:dyDescent="0.3">
      <c r="L233" s="270"/>
      <c r="M233" s="84" t="s">
        <v>2504</v>
      </c>
    </row>
    <row r="234" spans="1:13" x14ac:dyDescent="0.3">
      <c r="L234" s="270"/>
      <c r="M234" s="97"/>
    </row>
    <row r="235" spans="1:13" x14ac:dyDescent="0.3">
      <c r="A235" s="1" t="s">
        <v>1639</v>
      </c>
      <c r="C235" s="114" t="s">
        <v>179</v>
      </c>
      <c r="D235" s="114"/>
      <c r="E235" s="114" t="s">
        <v>179</v>
      </c>
      <c r="F235" s="114"/>
      <c r="G235" s="114" t="s">
        <v>179</v>
      </c>
      <c r="L235" s="270"/>
      <c r="M235" s="61" t="s">
        <v>1640</v>
      </c>
    </row>
    <row r="236" spans="1:13" ht="28.95" customHeight="1" x14ac:dyDescent="0.3">
      <c r="A236" s="80"/>
      <c r="B236" s="60" t="str">
        <f>B3</f>
        <v>City of Madera</v>
      </c>
      <c r="C236" s="60" t="str">
        <f>B3</f>
        <v>City of Madera</v>
      </c>
      <c r="D236" s="60" t="str">
        <f>B4</f>
        <v>Madera County</v>
      </c>
      <c r="E236" s="60" t="str">
        <f>B4</f>
        <v>Madera County</v>
      </c>
      <c r="F236" s="60" t="s">
        <v>173</v>
      </c>
      <c r="G236" s="60" t="s">
        <v>173</v>
      </c>
      <c r="H236" s="58"/>
      <c r="I236" s="58"/>
      <c r="J236" s="58"/>
      <c r="K236" s="58"/>
      <c r="L236" s="270"/>
    </row>
    <row r="237" spans="1:13" x14ac:dyDescent="0.3">
      <c r="A237" s="13" t="s">
        <v>180</v>
      </c>
      <c r="B237" s="16">
        <f>'Ref. ACS-5-YR'!H1145</f>
        <v>17598</v>
      </c>
      <c r="C237" s="55"/>
      <c r="D237" s="16">
        <f>'Ref. ACS-5-YR'!R1145</f>
        <v>44479</v>
      </c>
      <c r="E237" s="55"/>
      <c r="F237" s="16">
        <f>'Ref. ACS-5-YR'!AB1145</f>
        <v>13103114</v>
      </c>
      <c r="G237" s="55"/>
      <c r="H237" s="54"/>
      <c r="I237" s="54"/>
      <c r="J237" s="54"/>
      <c r="K237" s="54"/>
      <c r="L237" s="270"/>
    </row>
    <row r="238" spans="1:13" x14ac:dyDescent="0.3">
      <c r="A238" s="7" t="s">
        <v>1641</v>
      </c>
      <c r="B238" s="118">
        <f t="shared" ref="B238:G243" si="6">B245+B252</f>
        <v>693</v>
      </c>
      <c r="C238" s="119">
        <f t="shared" si="6"/>
        <v>3.9379474940334128E-2</v>
      </c>
      <c r="D238" s="118">
        <f t="shared" si="6"/>
        <v>872</v>
      </c>
      <c r="E238" s="119">
        <f t="shared" si="6"/>
        <v>1.9604757301198317E-2</v>
      </c>
      <c r="F238" s="118">
        <f t="shared" si="6"/>
        <v>547466</v>
      </c>
      <c r="G238" s="119">
        <f t="shared" si="6"/>
        <v>4.1999999999999996E-2</v>
      </c>
      <c r="H238" s="54"/>
      <c r="I238" s="54"/>
      <c r="J238" s="54"/>
      <c r="K238" s="54"/>
      <c r="L238" s="270"/>
    </row>
    <row r="239" spans="1:13" x14ac:dyDescent="0.3">
      <c r="A239" s="7" t="s">
        <v>1642</v>
      </c>
      <c r="B239" s="118">
        <f t="shared" si="6"/>
        <v>961</v>
      </c>
      <c r="C239" s="119">
        <f t="shared" si="6"/>
        <v>5.4608478236163202E-2</v>
      </c>
      <c r="D239" s="118">
        <f t="shared" si="6"/>
        <v>2026</v>
      </c>
      <c r="E239" s="119">
        <f t="shared" si="6"/>
        <v>4.5549585197508936E-2</v>
      </c>
      <c r="F239" s="118">
        <f t="shared" si="6"/>
        <v>1686731</v>
      </c>
      <c r="G239" s="119">
        <f t="shared" si="6"/>
        <v>0.128</v>
      </c>
      <c r="H239" s="54"/>
      <c r="I239" s="54"/>
      <c r="J239" s="54"/>
      <c r="K239" s="54"/>
      <c r="L239" s="270"/>
    </row>
    <row r="240" spans="1:13" x14ac:dyDescent="0.3">
      <c r="A240" s="7" t="s">
        <v>1643</v>
      </c>
      <c r="B240" s="118">
        <f t="shared" si="6"/>
        <v>3615</v>
      </c>
      <c r="C240" s="119">
        <f t="shared" si="6"/>
        <v>0.20542107057620185</v>
      </c>
      <c r="D240" s="118">
        <f t="shared" si="6"/>
        <v>8100</v>
      </c>
      <c r="E240" s="119">
        <f t="shared" si="6"/>
        <v>0.18210841071067246</v>
      </c>
      <c r="F240" s="118">
        <f t="shared" si="6"/>
        <v>3527970</v>
      </c>
      <c r="G240" s="119">
        <f t="shared" si="6"/>
        <v>0.26900000000000002</v>
      </c>
      <c r="H240" s="54"/>
      <c r="I240" s="54"/>
      <c r="J240" s="54"/>
      <c r="K240" s="54"/>
      <c r="L240" s="270"/>
    </row>
    <row r="241" spans="1:12" x14ac:dyDescent="0.3">
      <c r="A241" s="7" t="s">
        <v>1644</v>
      </c>
      <c r="B241" s="118">
        <f t="shared" si="6"/>
        <v>7551</v>
      </c>
      <c r="C241" s="119">
        <f t="shared" si="6"/>
        <v>0.42908285032390048</v>
      </c>
      <c r="D241" s="118">
        <f t="shared" si="6"/>
        <v>22484</v>
      </c>
      <c r="E241" s="119">
        <f t="shared" si="6"/>
        <v>0.50549697610108146</v>
      </c>
      <c r="F241" s="118">
        <f t="shared" si="6"/>
        <v>4418085</v>
      </c>
      <c r="G241" s="119">
        <f t="shared" si="6"/>
        <v>0.33699999999999997</v>
      </c>
      <c r="H241" s="54"/>
      <c r="I241" s="54"/>
      <c r="J241" s="54"/>
      <c r="K241" s="54"/>
      <c r="L241" s="270"/>
    </row>
    <row r="242" spans="1:12" x14ac:dyDescent="0.3">
      <c r="A242" s="7" t="s">
        <v>1645</v>
      </c>
      <c r="B242" s="118">
        <f t="shared" si="6"/>
        <v>4330</v>
      </c>
      <c r="C242" s="119">
        <f t="shared" si="6"/>
        <v>0.24605068757813386</v>
      </c>
      <c r="D242" s="118">
        <f t="shared" si="6"/>
        <v>9610</v>
      </c>
      <c r="E242" s="119">
        <f t="shared" si="6"/>
        <v>0.21605701567031632</v>
      </c>
      <c r="F242" s="118">
        <f t="shared" si="6"/>
        <v>2336619</v>
      </c>
      <c r="G242" s="119">
        <f t="shared" si="6"/>
        <v>0.17799999999999999</v>
      </c>
      <c r="H242" s="54"/>
      <c r="I242" s="54"/>
      <c r="J242" s="54"/>
      <c r="K242" s="54"/>
    </row>
    <row r="243" spans="1:12" x14ac:dyDescent="0.3">
      <c r="A243" s="7" t="s">
        <v>1646</v>
      </c>
      <c r="B243" s="118">
        <f t="shared" si="6"/>
        <v>448</v>
      </c>
      <c r="C243" s="119">
        <f t="shared" si="6"/>
        <v>2.5457438345266509E-2</v>
      </c>
      <c r="D243" s="118">
        <f t="shared" si="6"/>
        <v>1387</v>
      </c>
      <c r="E243" s="119">
        <f t="shared" si="6"/>
        <v>3.1183255019222554E-2</v>
      </c>
      <c r="F243" s="118">
        <f t="shared" si="6"/>
        <v>586243</v>
      </c>
      <c r="G243" s="119">
        <f t="shared" si="6"/>
        <v>4.3999999999999997E-2</v>
      </c>
      <c r="H243" s="54"/>
      <c r="I243" s="54"/>
      <c r="J243" s="54"/>
      <c r="K243" s="54"/>
    </row>
    <row r="244" spans="1:12" x14ac:dyDescent="0.3">
      <c r="A244" s="13" t="s">
        <v>1647</v>
      </c>
      <c r="B244" s="16">
        <f>'Ref. ACS-5-YR'!H1146</f>
        <v>8909</v>
      </c>
      <c r="C244" s="55">
        <f>'Ref. ACS-5-YR'!I1146</f>
        <v>0.50625071030798952</v>
      </c>
      <c r="D244" s="16">
        <f>'Ref. ACS-5-YR'!R1146</f>
        <v>29270</v>
      </c>
      <c r="E244" s="55">
        <f>'Ref. ACS-5-YR'!S1146</f>
        <v>0.65806335574091146</v>
      </c>
      <c r="F244" s="16">
        <f>'Ref. ACS-5-YR'!AB1146</f>
        <v>7241318</v>
      </c>
      <c r="G244" s="55">
        <f>'Ref. ACS-5-YR'!AC1146</f>
        <v>0.55300000000000005</v>
      </c>
      <c r="H244" s="54"/>
      <c r="I244" s="54"/>
      <c r="J244" s="54"/>
      <c r="K244" s="54"/>
    </row>
    <row r="245" spans="1:12" x14ac:dyDescent="0.3">
      <c r="A245" s="13" t="s">
        <v>1648</v>
      </c>
      <c r="B245" s="16">
        <f>'Ref. ACS-5-YR'!H1147</f>
        <v>85</v>
      </c>
      <c r="C245" s="55">
        <f>'Ref. ACS-5-YR'!I1147</f>
        <v>4.8300943289010115E-3</v>
      </c>
      <c r="D245" s="16">
        <f>'Ref. ACS-5-YR'!R1147</f>
        <v>176</v>
      </c>
      <c r="E245" s="55">
        <f>'Ref. ACS-5-YR'!S1147</f>
        <v>3.9569234919849816E-3</v>
      </c>
      <c r="F245" s="16">
        <f>'Ref. ACS-5-YR'!AB1147</f>
        <v>50963</v>
      </c>
      <c r="G245" s="55">
        <f>'Ref. ACS-5-YR'!AC1147</f>
        <v>4.0000000000000001E-3</v>
      </c>
      <c r="H245" s="54"/>
      <c r="I245" s="54"/>
      <c r="J245" s="54"/>
      <c r="K245" s="54"/>
      <c r="L245" s="271"/>
    </row>
    <row r="246" spans="1:12" x14ac:dyDescent="0.3">
      <c r="A246" s="13" t="s">
        <v>1649</v>
      </c>
      <c r="B246" s="16">
        <f>'Ref. ACS-5-YR'!H1148</f>
        <v>35</v>
      </c>
      <c r="C246" s="55">
        <f>'Ref. ACS-5-YR'!I1148</f>
        <v>1.988862370723946E-3</v>
      </c>
      <c r="D246" s="16">
        <f>'Ref. ACS-5-YR'!R1148</f>
        <v>589</v>
      </c>
      <c r="E246" s="55">
        <f>'Ref. ACS-5-YR'!S1148</f>
        <v>1.3242204186245195E-2</v>
      </c>
      <c r="F246" s="16">
        <f>'Ref. ACS-5-YR'!AB1148</f>
        <v>173846</v>
      </c>
      <c r="G246" s="55">
        <f>'Ref. ACS-5-YR'!AC1148</f>
        <v>1.2999999999999999E-2</v>
      </c>
      <c r="H246" s="54"/>
      <c r="I246" s="54"/>
      <c r="J246" s="54"/>
      <c r="K246" s="54"/>
      <c r="L246" s="284"/>
    </row>
    <row r="247" spans="1:12" x14ac:dyDescent="0.3">
      <c r="A247" s="13" t="s">
        <v>1650</v>
      </c>
      <c r="B247" s="16">
        <f>'Ref. ACS-5-YR'!H1149</f>
        <v>829</v>
      </c>
      <c r="C247" s="55">
        <f>'Ref. ACS-5-YR'!I1149</f>
        <v>4.7107625866575749E-2</v>
      </c>
      <c r="D247" s="16">
        <f>'Ref. ACS-5-YR'!R1149</f>
        <v>3344</v>
      </c>
      <c r="E247" s="55">
        <f>'Ref. ACS-5-YR'!S1149</f>
        <v>7.5181546347714651E-2</v>
      </c>
      <c r="F247" s="16">
        <f>'Ref. ACS-5-YR'!AB1149</f>
        <v>1307148</v>
      </c>
      <c r="G247" s="55">
        <f>'Ref. ACS-5-YR'!AC1149</f>
        <v>0.1</v>
      </c>
      <c r="H247" s="54"/>
      <c r="I247" s="54"/>
      <c r="J247" s="54"/>
      <c r="K247" s="54"/>
      <c r="L247" s="270"/>
    </row>
    <row r="248" spans="1:12" x14ac:dyDescent="0.3">
      <c r="A248" s="13" t="s">
        <v>1651</v>
      </c>
      <c r="B248" s="16">
        <f>'Ref. ACS-5-YR'!H1150</f>
        <v>4551</v>
      </c>
      <c r="C248" s="55">
        <f>'Ref. ACS-5-YR'!I1150</f>
        <v>0.25860893283327652</v>
      </c>
      <c r="D248" s="16">
        <f>'Ref. ACS-5-YR'!R1150</f>
        <v>16391</v>
      </c>
      <c r="E248" s="55">
        <f>'Ref. ACS-5-YR'!S1150</f>
        <v>0.36851098271094224</v>
      </c>
      <c r="F248" s="16">
        <f>'Ref. ACS-5-YR'!AB1150</f>
        <v>3228533</v>
      </c>
      <c r="G248" s="55">
        <f>'Ref. ACS-5-YR'!AC1150</f>
        <v>0.246</v>
      </c>
      <c r="H248" s="54"/>
      <c r="I248" s="54"/>
      <c r="J248" s="54"/>
      <c r="K248" s="54"/>
      <c r="L248" s="270"/>
    </row>
    <row r="249" spans="1:12" x14ac:dyDescent="0.3">
      <c r="A249" s="13" t="s">
        <v>1652</v>
      </c>
      <c r="B249" s="16">
        <f>'Ref. ACS-5-YR'!H1151</f>
        <v>2991</v>
      </c>
      <c r="C249" s="55">
        <f>'Ref. ACS-5-YR'!I1151</f>
        <v>0.16996249573815206</v>
      </c>
      <c r="D249" s="16">
        <f>'Ref. ACS-5-YR'!R1151</f>
        <v>7599</v>
      </c>
      <c r="E249" s="55">
        <f>'Ref. ACS-5-YR'!S1151</f>
        <v>0.17084466827041975</v>
      </c>
      <c r="F249" s="16">
        <f>'Ref. ACS-5-YR'!AB1151</f>
        <v>1964487</v>
      </c>
      <c r="G249" s="55">
        <f>'Ref. ACS-5-YR'!AC1151</f>
        <v>0.15</v>
      </c>
      <c r="H249" s="54"/>
      <c r="I249" s="54"/>
      <c r="J249" s="54"/>
      <c r="K249" s="54"/>
      <c r="L249" s="284"/>
    </row>
    <row r="250" spans="1:12" x14ac:dyDescent="0.3">
      <c r="A250" s="13" t="s">
        <v>1653</v>
      </c>
      <c r="B250" s="16">
        <f>'Ref. ACS-5-YR'!H1152</f>
        <v>418</v>
      </c>
      <c r="C250" s="55">
        <f>'Ref. ACS-5-YR'!I1152</f>
        <v>2.375269917036027E-2</v>
      </c>
      <c r="D250" s="16">
        <f>'Ref. ACS-5-YR'!R1152</f>
        <v>1171</v>
      </c>
      <c r="E250" s="55">
        <f>'Ref. ACS-5-YR'!S1152</f>
        <v>2.6327030733604623E-2</v>
      </c>
      <c r="F250" s="16">
        <f>'Ref. ACS-5-YR'!AB1152</f>
        <v>516341</v>
      </c>
      <c r="G250" s="55">
        <f>'Ref. ACS-5-YR'!AC1152</f>
        <v>3.9E-2</v>
      </c>
      <c r="H250" s="54"/>
      <c r="I250" s="54"/>
      <c r="J250" s="54"/>
      <c r="K250" s="54"/>
      <c r="L250" s="270"/>
    </row>
    <row r="251" spans="1:12" x14ac:dyDescent="0.3">
      <c r="A251" s="13" t="s">
        <v>1654</v>
      </c>
      <c r="B251" s="16">
        <f>'Ref. ACS-5-YR'!H1153</f>
        <v>8689</v>
      </c>
      <c r="C251" s="55">
        <f>'Ref. ACS-5-YR'!I1153</f>
        <v>0.49374928969201043</v>
      </c>
      <c r="D251" s="16">
        <f>'Ref. ACS-5-YR'!R1153</f>
        <v>15209</v>
      </c>
      <c r="E251" s="55">
        <f>'Ref. ACS-5-YR'!S1153</f>
        <v>0.34193664425908854</v>
      </c>
      <c r="F251" s="16">
        <f>'Ref. ACS-5-YR'!AB1153</f>
        <v>5861796</v>
      </c>
      <c r="G251" s="55">
        <f>'Ref. ACS-5-YR'!AC1153</f>
        <v>0.44700000000000001</v>
      </c>
      <c r="H251" s="54"/>
      <c r="I251" s="54"/>
      <c r="J251" s="54"/>
      <c r="K251" s="54"/>
      <c r="L251" s="270"/>
    </row>
    <row r="252" spans="1:12" x14ac:dyDescent="0.3">
      <c r="A252" s="13" t="s">
        <v>1655</v>
      </c>
      <c r="B252" s="16">
        <f>'Ref. ACS-5-YR'!H1154</f>
        <v>608</v>
      </c>
      <c r="C252" s="55">
        <f>'Ref. ACS-5-YR'!I1154</f>
        <v>3.4549380611433117E-2</v>
      </c>
      <c r="D252" s="16">
        <f>'Ref. ACS-5-YR'!R1154</f>
        <v>696</v>
      </c>
      <c r="E252" s="55">
        <f>'Ref. ACS-5-YR'!S1154</f>
        <v>1.5647833809213335E-2</v>
      </c>
      <c r="F252" s="16">
        <f>'Ref. ACS-5-YR'!AB1154</f>
        <v>496503</v>
      </c>
      <c r="G252" s="55">
        <f>'Ref. ACS-5-YR'!AC1154</f>
        <v>3.7999999999999999E-2</v>
      </c>
      <c r="H252" s="54"/>
      <c r="I252" s="54"/>
      <c r="J252" s="54"/>
      <c r="K252" s="54"/>
      <c r="L252" s="284"/>
    </row>
    <row r="253" spans="1:12" x14ac:dyDescent="0.3">
      <c r="A253" s="13" t="s">
        <v>1656</v>
      </c>
      <c r="B253" s="16">
        <f>'Ref. ACS-5-YR'!H1155</f>
        <v>926</v>
      </c>
      <c r="C253" s="55">
        <f>'Ref. ACS-5-YR'!I1155</f>
        <v>5.2619615865439257E-2</v>
      </c>
      <c r="D253" s="16">
        <f>'Ref. ACS-5-YR'!R1155</f>
        <v>1437</v>
      </c>
      <c r="E253" s="55">
        <f>'Ref. ACS-5-YR'!S1155</f>
        <v>3.2307381011263743E-2</v>
      </c>
      <c r="F253" s="16">
        <f>'Ref. ACS-5-YR'!AB1155</f>
        <v>1512885</v>
      </c>
      <c r="G253" s="55">
        <f>'Ref. ACS-5-YR'!AC1155</f>
        <v>0.115</v>
      </c>
      <c r="H253" s="54"/>
      <c r="I253" s="54"/>
      <c r="J253" s="54"/>
      <c r="K253" s="54"/>
      <c r="L253" s="270"/>
    </row>
    <row r="254" spans="1:12" x14ac:dyDescent="0.3">
      <c r="A254" s="13" t="s">
        <v>1657</v>
      </c>
      <c r="B254" s="16">
        <f>'Ref. ACS-5-YR'!H1156</f>
        <v>2786</v>
      </c>
      <c r="C254" s="55">
        <f>'Ref. ACS-5-YR'!I1156</f>
        <v>0.15831344470962611</v>
      </c>
      <c r="D254" s="16">
        <f>'Ref. ACS-5-YR'!R1156</f>
        <v>4756</v>
      </c>
      <c r="E254" s="55">
        <f>'Ref. ACS-5-YR'!S1156</f>
        <v>0.1069268643629578</v>
      </c>
      <c r="F254" s="16">
        <f>'Ref. ACS-5-YR'!AB1156</f>
        <v>2220822</v>
      </c>
      <c r="G254" s="55">
        <f>'Ref. ACS-5-YR'!AC1156</f>
        <v>0.16900000000000001</v>
      </c>
      <c r="H254" s="54"/>
      <c r="I254" s="54"/>
      <c r="J254" s="54"/>
      <c r="K254" s="54"/>
      <c r="L254" s="270"/>
    </row>
    <row r="255" spans="1:12" x14ac:dyDescent="0.3">
      <c r="A255" s="13" t="s">
        <v>1658</v>
      </c>
      <c r="B255" s="16">
        <f>'Ref. ACS-5-YR'!H1157</f>
        <v>3000</v>
      </c>
      <c r="C255" s="55">
        <f>'Ref. ACS-5-YR'!I1157</f>
        <v>0.17047391749062393</v>
      </c>
      <c r="D255" s="16">
        <f>'Ref. ACS-5-YR'!R1157</f>
        <v>6093</v>
      </c>
      <c r="E255" s="55">
        <f>'Ref. ACS-5-YR'!S1157</f>
        <v>0.13698599339013917</v>
      </c>
      <c r="F255" s="16">
        <f>'Ref. ACS-5-YR'!AB1157</f>
        <v>1189552</v>
      </c>
      <c r="G255" s="55">
        <f>'Ref. ACS-5-YR'!AC1157</f>
        <v>9.0999999999999998E-2</v>
      </c>
      <c r="H255" s="54"/>
      <c r="I255" s="54"/>
      <c r="J255" s="54"/>
      <c r="K255" s="54"/>
      <c r="L255" s="284"/>
    </row>
    <row r="256" spans="1:12" x14ac:dyDescent="0.3">
      <c r="A256" s="13" t="s">
        <v>1659</v>
      </c>
      <c r="B256" s="16">
        <f>'Ref. ACS-5-YR'!H1158</f>
        <v>1339</v>
      </c>
      <c r="C256" s="55">
        <f>'Ref. ACS-5-YR'!I1158</f>
        <v>7.608819183998182E-2</v>
      </c>
      <c r="D256" s="16">
        <f>'Ref. ACS-5-YR'!R1158</f>
        <v>2011</v>
      </c>
      <c r="E256" s="55">
        <f>'Ref. ACS-5-YR'!S1158</f>
        <v>4.5212347399896581E-2</v>
      </c>
      <c r="F256" s="16">
        <f>'Ref. ACS-5-YR'!AB1158</f>
        <v>372132</v>
      </c>
      <c r="G256" s="55">
        <f>'Ref. ACS-5-YR'!AC1158</f>
        <v>2.8000000000000001E-2</v>
      </c>
      <c r="H256" s="54"/>
      <c r="I256" s="54"/>
      <c r="J256" s="54"/>
      <c r="K256" s="54"/>
      <c r="L256" s="270"/>
    </row>
    <row r="257" spans="1:13" x14ac:dyDescent="0.3">
      <c r="A257" s="13" t="s">
        <v>1660</v>
      </c>
      <c r="B257" s="16">
        <f>'Ref. ACS-5-YR'!H1159</f>
        <v>30</v>
      </c>
      <c r="C257" s="55">
        <f>'Ref. ACS-5-YR'!I1159</f>
        <v>1.7047391749062393E-3</v>
      </c>
      <c r="D257" s="16">
        <f>'Ref. ACS-5-YR'!R1159</f>
        <v>216</v>
      </c>
      <c r="E257" s="55">
        <f>'Ref. ACS-5-YR'!S1159</f>
        <v>4.8562242856179322E-3</v>
      </c>
      <c r="F257" s="16">
        <f>'Ref. ACS-5-YR'!AB1159</f>
        <v>69902</v>
      </c>
      <c r="G257" s="55">
        <f>'Ref. ACS-5-YR'!AC1159</f>
        <v>5.0000000000000001E-3</v>
      </c>
      <c r="H257" s="54"/>
      <c r="I257" s="54"/>
      <c r="J257" s="54"/>
      <c r="K257" s="54"/>
      <c r="L257" s="270"/>
    </row>
    <row r="258" spans="1:13" x14ac:dyDescent="0.3">
      <c r="A258" t="s">
        <v>1632</v>
      </c>
      <c r="L258" s="284"/>
      <c r="M258" s="42" t="str">
        <f>A258</f>
        <v>Source: U.S. Census Bureau, ACS 16-20 (5-year Estimates), Table B25042</v>
      </c>
    </row>
    <row r="259" spans="1:13" x14ac:dyDescent="0.3">
      <c r="L259" s="270"/>
    </row>
    <row r="260" spans="1:13" x14ac:dyDescent="0.3">
      <c r="A260" s="1" t="s">
        <v>1661</v>
      </c>
      <c r="L260" s="270"/>
      <c r="M260" s="61" t="s">
        <v>1662</v>
      </c>
    </row>
    <row r="261" spans="1:13" ht="28.2" customHeight="1" x14ac:dyDescent="0.3">
      <c r="A261" s="80"/>
      <c r="B261" s="60" t="str">
        <f>B3</f>
        <v>City of Madera</v>
      </c>
      <c r="C261" s="60" t="s">
        <v>179</v>
      </c>
      <c r="D261" s="60" t="str">
        <f>B4</f>
        <v>Madera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1588</v>
      </c>
      <c r="B263" s="16">
        <f>'Ref. ACS-5-YR'!H935</f>
        <v>5307</v>
      </c>
      <c r="C263" s="55">
        <f>'Ref. ACS-5-YR'!I935</f>
        <v>0.55338894681960371</v>
      </c>
      <c r="D263" s="16">
        <f>'Ref. ACS-5-YR'!R935</f>
        <v>21707</v>
      </c>
      <c r="E263" s="55">
        <f>'Ref. ACS-5-YR'!S935</f>
        <v>0.71261613210334529</v>
      </c>
      <c r="F263" s="16">
        <f>'Ref. ACS-5-YR'!AB935</f>
        <v>4831347</v>
      </c>
      <c r="G263" s="55">
        <f>'Ref. ACS-5-YR'!AC935</f>
        <v>0.59399999999999997</v>
      </c>
      <c r="H263" s="54"/>
      <c r="I263" s="54"/>
      <c r="J263" s="54"/>
      <c r="K263" s="54"/>
      <c r="L263" s="270"/>
    </row>
    <row r="264" spans="1:13" x14ac:dyDescent="0.3">
      <c r="A264" s="13" t="s">
        <v>1591</v>
      </c>
      <c r="B264" s="16">
        <f>'Ref. ACS-5-YR'!H936</f>
        <v>4283</v>
      </c>
      <c r="C264" s="55">
        <f>'Ref. ACS-5-YR'!I936</f>
        <v>0.44661105318039623</v>
      </c>
      <c r="D264" s="16">
        <f>'Ref. ACS-5-YR'!R936</f>
        <v>8754</v>
      </c>
      <c r="E264" s="55">
        <f>'Ref. ACS-5-YR'!S936</f>
        <v>0.28738386789665477</v>
      </c>
      <c r="F264" s="16">
        <f>'Ref. ACS-5-YR'!AB936</f>
        <v>3308833</v>
      </c>
      <c r="G264" s="55">
        <f>'Ref. ACS-5-YR'!AC936</f>
        <v>0.40600000000000003</v>
      </c>
      <c r="H264" s="54"/>
      <c r="I264" s="54"/>
      <c r="J264" s="54"/>
      <c r="K264" s="54"/>
      <c r="L264" s="284"/>
    </row>
    <row r="265" spans="1:13" x14ac:dyDescent="0.3">
      <c r="A265" s="87" t="s">
        <v>1663</v>
      </c>
      <c r="B265" s="87"/>
      <c r="C265" s="87"/>
      <c r="D265" s="87"/>
      <c r="E265" s="87"/>
      <c r="F265" s="87"/>
      <c r="G265" s="87"/>
      <c r="H265" s="88"/>
      <c r="I265" s="88"/>
      <c r="J265" s="88"/>
      <c r="K265" s="88"/>
      <c r="L265" s="270"/>
    </row>
    <row r="266" spans="1:13" x14ac:dyDescent="0.3">
      <c r="A266" s="13" t="s">
        <v>1588</v>
      </c>
      <c r="B266" s="16">
        <f>'Ref. ACS-5-YR'!H941</f>
        <v>311</v>
      </c>
      <c r="C266" s="55">
        <f>'Ref. ACS-5-YR'!I941</f>
        <v>0.29065420560747662</v>
      </c>
      <c r="D266" s="16">
        <f>'Ref. ACS-5-YR'!R941</f>
        <v>523</v>
      </c>
      <c r="E266" s="55">
        <f>'Ref. ACS-5-YR'!S941</f>
        <v>0.38119533527696792</v>
      </c>
      <c r="F266" s="16">
        <f>'Ref. ACS-5-YR'!AB941</f>
        <v>286043</v>
      </c>
      <c r="G266" s="55">
        <f>'Ref. ACS-5-YR'!AC941</f>
        <v>0.35499999999999998</v>
      </c>
      <c r="H266" s="54"/>
      <c r="I266" s="54"/>
      <c r="J266" s="54"/>
      <c r="K266" s="54"/>
      <c r="L266" s="270"/>
    </row>
    <row r="267" spans="1:13" x14ac:dyDescent="0.3">
      <c r="A267" s="13" t="s">
        <v>1591</v>
      </c>
      <c r="B267" s="16">
        <f>'Ref. ACS-5-YR'!H942</f>
        <v>759</v>
      </c>
      <c r="C267" s="55">
        <f>'Ref. ACS-5-YR'!I942</f>
        <v>0.70934579439252332</v>
      </c>
      <c r="D267" s="16">
        <f>'Ref. ACS-5-YR'!R942</f>
        <v>849</v>
      </c>
      <c r="E267" s="55">
        <f>'Ref. ACS-5-YR'!S942</f>
        <v>0.61880466472303208</v>
      </c>
      <c r="F267" s="16">
        <f>'Ref. ACS-5-YR'!AB942</f>
        <v>520690</v>
      </c>
      <c r="G267" s="55">
        <f>'Ref. ACS-5-YR'!AC942</f>
        <v>0.64500000000000002</v>
      </c>
      <c r="H267" s="54"/>
      <c r="I267" s="54"/>
      <c r="J267" s="54"/>
      <c r="K267" s="54"/>
      <c r="L267" s="270"/>
    </row>
    <row r="268" spans="1:13" x14ac:dyDescent="0.3">
      <c r="A268" s="87" t="s">
        <v>1664</v>
      </c>
      <c r="B268" s="87"/>
      <c r="C268" s="87"/>
      <c r="D268" s="87"/>
      <c r="E268" s="87"/>
      <c r="F268" s="87"/>
      <c r="G268" s="87"/>
      <c r="H268" s="88"/>
      <c r="I268" s="88"/>
      <c r="J268" s="88"/>
      <c r="K268" s="88"/>
      <c r="L268" s="270"/>
    </row>
    <row r="269" spans="1:13" x14ac:dyDescent="0.3">
      <c r="A269" s="13" t="s">
        <v>1588</v>
      </c>
      <c r="B269" s="16">
        <f>'Ref. ACS-5-YR'!H947</f>
        <v>147</v>
      </c>
      <c r="C269" s="55">
        <f>'Ref. ACS-5-YR'!I947</f>
        <v>0.75773195876288657</v>
      </c>
      <c r="D269" s="16">
        <f>'Ref. ACS-5-YR'!R947</f>
        <v>561</v>
      </c>
      <c r="E269" s="55">
        <f>'Ref. ACS-5-YR'!S947</f>
        <v>0.79461756373937675</v>
      </c>
      <c r="F269" s="16">
        <f>'Ref. ACS-5-YR'!AB947</f>
        <v>48100</v>
      </c>
      <c r="G269" s="55">
        <f>'Ref. ACS-5-YR'!AC947</f>
        <v>0.49199999999999999</v>
      </c>
      <c r="H269" s="54"/>
      <c r="I269" s="54"/>
      <c r="J269" s="54"/>
      <c r="K269" s="54"/>
      <c r="L269" s="270"/>
    </row>
    <row r="270" spans="1:13" x14ac:dyDescent="0.3">
      <c r="A270" s="13" t="s">
        <v>1591</v>
      </c>
      <c r="B270" s="16">
        <f>'Ref. ACS-5-YR'!H948</f>
        <v>47</v>
      </c>
      <c r="C270" s="55">
        <f>'Ref. ACS-5-YR'!I948</f>
        <v>0.2422680412371134</v>
      </c>
      <c r="D270" s="16">
        <f>'Ref. ACS-5-YR'!R948</f>
        <v>145</v>
      </c>
      <c r="E270" s="55">
        <f>'Ref. ACS-5-YR'!S948</f>
        <v>0.20538243626062322</v>
      </c>
      <c r="F270" s="16">
        <f>'Ref. ACS-5-YR'!AB948</f>
        <v>49657</v>
      </c>
      <c r="G270" s="55">
        <f>'Ref. ACS-5-YR'!AC948</f>
        <v>0.50800000000000001</v>
      </c>
      <c r="H270" s="54"/>
      <c r="I270" s="54"/>
      <c r="J270" s="54"/>
      <c r="K270" s="54"/>
    </row>
    <row r="271" spans="1:13" x14ac:dyDescent="0.3">
      <c r="A271" s="87" t="s">
        <v>1665</v>
      </c>
      <c r="B271" s="87"/>
      <c r="C271" s="87"/>
      <c r="D271" s="87"/>
      <c r="E271" s="87"/>
      <c r="F271" s="87"/>
      <c r="G271" s="87"/>
      <c r="H271" s="88"/>
      <c r="I271" s="88"/>
      <c r="J271" s="88"/>
      <c r="K271" s="88"/>
    </row>
    <row r="272" spans="1:13" x14ac:dyDescent="0.3">
      <c r="A272" s="13" t="s">
        <v>1588</v>
      </c>
      <c r="B272" s="16">
        <f>'Ref. ACS-5-YR'!H953</f>
        <v>198</v>
      </c>
      <c r="C272" s="55">
        <f>'Ref. ACS-5-YR'!I953</f>
        <v>0.70967741935483875</v>
      </c>
      <c r="D272" s="16">
        <f>'Ref. ACS-5-YR'!R953</f>
        <v>599</v>
      </c>
      <c r="E272" s="55">
        <f>'Ref. ACS-5-YR'!S953</f>
        <v>0.74595267745952676</v>
      </c>
      <c r="F272" s="16">
        <f>'Ref. ACS-5-YR'!AB953</f>
        <v>1111582</v>
      </c>
      <c r="G272" s="55">
        <f>'Ref. ACS-5-YR'!AC953</f>
        <v>0.59699999999999998</v>
      </c>
      <c r="H272" s="54"/>
      <c r="I272" s="54"/>
      <c r="J272" s="54"/>
      <c r="K272" s="54"/>
    </row>
    <row r="273" spans="1:13" x14ac:dyDescent="0.3">
      <c r="A273" s="13" t="s">
        <v>1591</v>
      </c>
      <c r="B273" s="16">
        <f>'Ref. ACS-5-YR'!H954</f>
        <v>81</v>
      </c>
      <c r="C273" s="55">
        <f>'Ref. ACS-5-YR'!I954</f>
        <v>0.29032258064516131</v>
      </c>
      <c r="D273" s="16">
        <f>'Ref. ACS-5-YR'!R954</f>
        <v>204</v>
      </c>
      <c r="E273" s="55">
        <f>'Ref. ACS-5-YR'!S954</f>
        <v>0.25404732254047324</v>
      </c>
      <c r="F273" s="16">
        <f>'Ref. ACS-5-YR'!AB954</f>
        <v>749308</v>
      </c>
      <c r="G273" s="55">
        <f>'Ref. ACS-5-YR'!AC954</f>
        <v>0.40300000000000002</v>
      </c>
      <c r="H273" s="54"/>
      <c r="I273" s="54"/>
      <c r="J273" s="54"/>
      <c r="K273" s="54"/>
    </row>
    <row r="274" spans="1:13" x14ac:dyDescent="0.3">
      <c r="A274" s="87" t="s">
        <v>1474</v>
      </c>
      <c r="B274" s="87"/>
      <c r="C274" s="87"/>
      <c r="D274" s="87"/>
      <c r="E274" s="87"/>
      <c r="F274" s="87"/>
      <c r="G274" s="87"/>
      <c r="H274" s="88"/>
      <c r="I274" s="88"/>
      <c r="J274" s="88"/>
      <c r="K274" s="88"/>
    </row>
    <row r="275" spans="1:13" x14ac:dyDescent="0.3">
      <c r="A275" s="13" t="s">
        <v>1588</v>
      </c>
      <c r="B275" s="16">
        <f>'Ref. ACS-5-YR'!H959</f>
        <v>0</v>
      </c>
      <c r="C275" s="55">
        <f>'Ref. ACS-5-YR'!I959</f>
        <v>18.787877999999999</v>
      </c>
      <c r="D275" s="16">
        <f>'Ref. ACS-5-YR'!R959</f>
        <v>8</v>
      </c>
      <c r="E275" s="55">
        <f>'Ref. ACS-5-YR'!S959</f>
        <v>1</v>
      </c>
      <c r="F275" s="16">
        <f>'Ref. ACS-5-YR'!AB959</f>
        <v>18182</v>
      </c>
      <c r="G275" s="55">
        <f>'Ref. ACS-5-YR'!AC959</f>
        <v>0.45400000000000001</v>
      </c>
      <c r="H275" s="54"/>
      <c r="I275" s="54"/>
      <c r="J275" s="54"/>
      <c r="K275" s="54"/>
    </row>
    <row r="276" spans="1:13" x14ac:dyDescent="0.3">
      <c r="A276" s="13" t="s">
        <v>1591</v>
      </c>
      <c r="B276" s="16">
        <f>'Ref. ACS-5-YR'!H960</f>
        <v>0</v>
      </c>
      <c r="C276" s="55">
        <f>'Ref. ACS-5-YR'!I960</f>
        <v>18.787877999999999</v>
      </c>
      <c r="D276" s="16">
        <f>'Ref. ACS-5-YR'!R960</f>
        <v>0</v>
      </c>
      <c r="E276" s="55">
        <f>'Ref. ACS-5-YR'!S960</f>
        <v>0</v>
      </c>
      <c r="F276" s="16">
        <f>'Ref. ACS-5-YR'!AB960</f>
        <v>21854</v>
      </c>
      <c r="G276" s="55">
        <f>'Ref. ACS-5-YR'!AC960</f>
        <v>0.54600000000000004</v>
      </c>
      <c r="H276" s="54"/>
      <c r="I276" s="54"/>
      <c r="J276" s="54"/>
      <c r="K276" s="54"/>
    </row>
    <row r="277" spans="1:13" x14ac:dyDescent="0.3">
      <c r="A277" s="87" t="s">
        <v>1666</v>
      </c>
      <c r="B277" s="87"/>
      <c r="C277" s="87"/>
      <c r="D277" s="87"/>
      <c r="E277" s="87"/>
      <c r="F277" s="87"/>
      <c r="G277" s="87"/>
      <c r="H277" s="88"/>
      <c r="I277" s="88"/>
      <c r="J277" s="88"/>
      <c r="K277" s="88"/>
    </row>
    <row r="278" spans="1:13" x14ac:dyDescent="0.3">
      <c r="A278" s="13" t="s">
        <v>1588</v>
      </c>
      <c r="B278" s="16">
        <f>'Ref. ACS-5-YR'!H965</f>
        <v>2453</v>
      </c>
      <c r="C278" s="55">
        <f>'Ref. ACS-5-YR'!I965</f>
        <v>0.4468937875751503</v>
      </c>
      <c r="D278" s="16">
        <f>'Ref. ACS-5-YR'!R965</f>
        <v>4425</v>
      </c>
      <c r="E278" s="55">
        <f>'Ref. ACS-5-YR'!S965</f>
        <v>0.50215615070358599</v>
      </c>
      <c r="F278" s="16">
        <f>'Ref. ACS-5-YR'!AB965</f>
        <v>576852</v>
      </c>
      <c r="G278" s="55">
        <f>'Ref. ACS-5-YR'!AC965</f>
        <v>0.41299999999999998</v>
      </c>
      <c r="H278" s="54"/>
      <c r="I278" s="54"/>
      <c r="J278" s="54"/>
      <c r="K278" s="54"/>
    </row>
    <row r="279" spans="1:13" x14ac:dyDescent="0.3">
      <c r="A279" s="13" t="s">
        <v>1591</v>
      </c>
      <c r="B279" s="16">
        <f>'Ref. ACS-5-YR'!H966</f>
        <v>3036</v>
      </c>
      <c r="C279" s="55">
        <f>'Ref. ACS-5-YR'!I966</f>
        <v>0.5531062124248497</v>
      </c>
      <c r="D279" s="16">
        <f>'Ref. ACS-5-YR'!R966</f>
        <v>4387</v>
      </c>
      <c r="E279" s="55">
        <f>'Ref. ACS-5-YR'!S966</f>
        <v>0.49784384929641395</v>
      </c>
      <c r="F279" s="16">
        <f>'Ref. ACS-5-YR'!AB966</f>
        <v>820358</v>
      </c>
      <c r="G279" s="55">
        <f>'Ref. ACS-5-YR'!AC966</f>
        <v>0.58699999999999997</v>
      </c>
      <c r="H279" s="54"/>
      <c r="I279" s="54"/>
      <c r="J279" s="54"/>
      <c r="K279" s="54"/>
    </row>
    <row r="280" spans="1:13" x14ac:dyDescent="0.3">
      <c r="A280" s="87" t="s">
        <v>1667</v>
      </c>
      <c r="B280" s="87"/>
      <c r="C280" s="87"/>
      <c r="D280" s="87"/>
      <c r="E280" s="87"/>
      <c r="F280" s="87"/>
      <c r="G280" s="87"/>
      <c r="H280" s="88"/>
      <c r="I280" s="88"/>
      <c r="J280" s="88"/>
      <c r="K280" s="88"/>
    </row>
    <row r="281" spans="1:13" x14ac:dyDescent="0.3">
      <c r="A281" s="13" t="s">
        <v>1588</v>
      </c>
      <c r="B281" s="16">
        <f>'Ref. ACS-5-YR'!H971</f>
        <v>493</v>
      </c>
      <c r="C281" s="55">
        <f>'Ref. ACS-5-YR'!I971</f>
        <v>0.50512295081967218</v>
      </c>
      <c r="D281" s="16">
        <f>'Ref. ACS-5-YR'!R971</f>
        <v>1447</v>
      </c>
      <c r="E281" s="55">
        <f>'Ref. ACS-5-YR'!S971</f>
        <v>0.62451445835131636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1591</v>
      </c>
      <c r="B282" s="16">
        <f>'Ref. ACS-5-YR'!H972</f>
        <v>483</v>
      </c>
      <c r="C282" s="55">
        <f>'Ref. ACS-5-YR'!I972</f>
        <v>0.49487704918032788</v>
      </c>
      <c r="D282" s="16">
        <f>'Ref. ACS-5-YR'!R972</f>
        <v>870</v>
      </c>
      <c r="E282" s="55">
        <f>'Ref. ACS-5-YR'!S972</f>
        <v>0.37548554164868364</v>
      </c>
      <c r="F282" s="16">
        <f>'Ref. ACS-5-YR'!AB972</f>
        <v>391096</v>
      </c>
      <c r="G282" s="55">
        <f>'Ref. ACS-5-YR'!AC972</f>
        <v>0.51400000000000001</v>
      </c>
      <c r="H282" s="54"/>
      <c r="I282" s="54"/>
      <c r="J282" s="54"/>
      <c r="K282" s="54"/>
      <c r="M282" s="289" t="s">
        <v>2450</v>
      </c>
    </row>
    <row r="283" spans="1:13" ht="21" customHeight="1" x14ac:dyDescent="0.3">
      <c r="A283" s="87" t="s">
        <v>249</v>
      </c>
      <c r="B283" s="87"/>
      <c r="C283" s="87"/>
      <c r="D283" s="87"/>
      <c r="E283" s="87"/>
      <c r="F283" s="87"/>
      <c r="G283" s="87"/>
      <c r="H283" s="54"/>
      <c r="I283" s="54"/>
      <c r="J283" s="54"/>
      <c r="K283" s="54"/>
    </row>
    <row r="284" spans="1:13" x14ac:dyDescent="0.3">
      <c r="A284" s="13" t="s">
        <v>1588</v>
      </c>
      <c r="B284" s="16">
        <f>'Ref. ACS-5-YR'!H983</f>
        <v>5950</v>
      </c>
      <c r="C284" s="55">
        <f>'Ref. ACS-5-YR'!I983</f>
        <v>0.48782487496925475</v>
      </c>
      <c r="D284" s="16">
        <f>'Ref. ACS-5-YR'!R983</f>
        <v>11429</v>
      </c>
      <c r="E284" s="55">
        <f>'Ref. ACS-5-YR'!S983</f>
        <v>0.55140637815409854</v>
      </c>
      <c r="F284" s="16">
        <f>'Ref. ACS-5-YR'!AB983</f>
        <v>1741159</v>
      </c>
      <c r="G284" s="55">
        <f>'Ref. ACS-5-YR'!AC983</f>
        <v>0.44900000000000001</v>
      </c>
      <c r="H284" s="54"/>
      <c r="I284" s="54"/>
      <c r="J284" s="54"/>
      <c r="K284" s="54"/>
    </row>
    <row r="285" spans="1:13" x14ac:dyDescent="0.3">
      <c r="A285" s="13" t="s">
        <v>1591</v>
      </c>
      <c r="B285" s="16">
        <f>'Ref. ACS-5-YR'!H984</f>
        <v>6247</v>
      </c>
      <c r="C285" s="55">
        <f>'Ref. ACS-5-YR'!I984</f>
        <v>0.51217512503074525</v>
      </c>
      <c r="D285" s="16">
        <f>'Ref. ACS-5-YR'!R984</f>
        <v>9298</v>
      </c>
      <c r="E285" s="55">
        <f>'Ref. ACS-5-YR'!S984</f>
        <v>0.44859362184590146</v>
      </c>
      <c r="F285" s="16">
        <f>'Ref. ACS-5-YR'!AB984</f>
        <v>2133185</v>
      </c>
      <c r="G285" s="55">
        <f>'Ref. ACS-5-YR'!AC984</f>
        <v>0.55100000000000005</v>
      </c>
      <c r="H285" s="54"/>
      <c r="I285" s="54"/>
      <c r="J285" s="54"/>
      <c r="K285" s="54"/>
    </row>
    <row r="286" spans="1:13" x14ac:dyDescent="0.3">
      <c r="A286" t="s">
        <v>1668</v>
      </c>
      <c r="M286"/>
    </row>
    <row r="287" spans="1:13" x14ac:dyDescent="0.3">
      <c r="M287"/>
    </row>
    <row r="288" spans="1:13" x14ac:dyDescent="0.3">
      <c r="A288" s="1" t="s">
        <v>1669</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5307</v>
      </c>
      <c r="C290" s="55">
        <f>C263</f>
        <v>0.55338894681960371</v>
      </c>
      <c r="D290" s="6">
        <f>B264</f>
        <v>4283</v>
      </c>
      <c r="E290" s="55">
        <f>C264</f>
        <v>0.44661105318039623</v>
      </c>
      <c r="M290"/>
    </row>
    <row r="291" spans="1:13" x14ac:dyDescent="0.3">
      <c r="A291" s="87" t="s">
        <v>1663</v>
      </c>
      <c r="B291" s="6">
        <f>B266</f>
        <v>311</v>
      </c>
      <c r="C291" s="55">
        <f>C266</f>
        <v>0.29065420560747662</v>
      </c>
      <c r="D291" s="6">
        <f>B267</f>
        <v>759</v>
      </c>
      <c r="E291" s="55">
        <f>C267</f>
        <v>0.70934579439252332</v>
      </c>
      <c r="M291" s="61" t="s">
        <v>1670</v>
      </c>
    </row>
    <row r="292" spans="1:13" x14ac:dyDescent="0.3">
      <c r="A292" s="87" t="s">
        <v>1664</v>
      </c>
      <c r="B292" s="6">
        <f>B269</f>
        <v>147</v>
      </c>
      <c r="C292" s="55">
        <f>C269</f>
        <v>0.75773195876288657</v>
      </c>
      <c r="D292" s="6">
        <f>B270</f>
        <v>47</v>
      </c>
      <c r="E292" s="55">
        <f>C270</f>
        <v>0.2422680412371134</v>
      </c>
      <c r="M292"/>
    </row>
    <row r="293" spans="1:13" x14ac:dyDescent="0.3">
      <c r="A293" s="87" t="s">
        <v>1665</v>
      </c>
      <c r="B293" s="6">
        <f>B272</f>
        <v>198</v>
      </c>
      <c r="C293" s="55">
        <f>C272</f>
        <v>0.70967741935483875</v>
      </c>
      <c r="D293" s="6">
        <f>B273</f>
        <v>81</v>
      </c>
      <c r="E293" s="55">
        <f>C273</f>
        <v>0.29032258064516131</v>
      </c>
      <c r="M293"/>
    </row>
    <row r="294" spans="1:13" x14ac:dyDescent="0.3">
      <c r="A294" s="87" t="s">
        <v>1474</v>
      </c>
      <c r="B294" s="6">
        <f>B275</f>
        <v>0</v>
      </c>
      <c r="C294" s="55">
        <f>C275</f>
        <v>18.787877999999999</v>
      </c>
      <c r="D294" s="6">
        <f>B276</f>
        <v>0</v>
      </c>
      <c r="E294" s="55">
        <f>C276</f>
        <v>18.787877999999999</v>
      </c>
      <c r="M294"/>
    </row>
    <row r="295" spans="1:13" x14ac:dyDescent="0.3">
      <c r="A295" s="87" t="s">
        <v>1666</v>
      </c>
      <c r="B295" s="6">
        <f>B278</f>
        <v>2453</v>
      </c>
      <c r="C295" s="55">
        <f>C278</f>
        <v>0.4468937875751503</v>
      </c>
      <c r="D295" s="6">
        <f>B279</f>
        <v>3036</v>
      </c>
      <c r="E295" s="55">
        <f>C279</f>
        <v>0.5531062124248497</v>
      </c>
      <c r="M295"/>
    </row>
    <row r="296" spans="1:13" x14ac:dyDescent="0.3">
      <c r="A296" s="87" t="s">
        <v>1671</v>
      </c>
      <c r="B296" s="6">
        <f>B281</f>
        <v>493</v>
      </c>
      <c r="C296" s="55">
        <f>C281</f>
        <v>0.50512295081967218</v>
      </c>
      <c r="D296" s="6">
        <f>B282</f>
        <v>483</v>
      </c>
      <c r="E296" s="55">
        <f>C282</f>
        <v>0.49487704918032788</v>
      </c>
      <c r="M296"/>
    </row>
    <row r="297" spans="1:13" x14ac:dyDescent="0.3">
      <c r="A297" s="87" t="s">
        <v>249</v>
      </c>
      <c r="B297" s="6">
        <f>B284</f>
        <v>5950</v>
      </c>
      <c r="C297" s="55">
        <f>C284</f>
        <v>0.48782487496925475</v>
      </c>
      <c r="D297" s="6">
        <f>B285</f>
        <v>6247</v>
      </c>
      <c r="E297" s="55">
        <f>C285</f>
        <v>0.51217512503074525</v>
      </c>
      <c r="M297"/>
    </row>
    <row r="298" spans="1:13" x14ac:dyDescent="0.3">
      <c r="A298" t="s">
        <v>1668</v>
      </c>
      <c r="B298" s="12"/>
      <c r="C298" s="12"/>
      <c r="M298"/>
    </row>
    <row r="299" spans="1:13" x14ac:dyDescent="0.3">
      <c r="A299" s="88"/>
      <c r="B299" s="12"/>
      <c r="C299" s="12"/>
      <c r="M299"/>
    </row>
    <row r="300" spans="1:13" x14ac:dyDescent="0.3">
      <c r="A300" s="1" t="s">
        <v>1672</v>
      </c>
      <c r="C300" s="114" t="s">
        <v>179</v>
      </c>
      <c r="D300" s="114"/>
      <c r="E300" s="141" t="s">
        <v>179</v>
      </c>
      <c r="F300" s="114"/>
      <c r="G300" s="114" t="s">
        <v>179</v>
      </c>
      <c r="M300"/>
    </row>
    <row r="301" spans="1:13" ht="28.8" x14ac:dyDescent="0.3">
      <c r="A301" s="60" t="s">
        <v>1673</v>
      </c>
      <c r="B301" s="60" t="str">
        <f>B3</f>
        <v>City of Madera</v>
      </c>
      <c r="C301" s="60" t="str">
        <f>B3</f>
        <v>City of Madera</v>
      </c>
      <c r="D301" s="60" t="str">
        <f>B4</f>
        <v>Madera County</v>
      </c>
      <c r="E301" s="60" t="str">
        <f>B4</f>
        <v>Madera County</v>
      </c>
      <c r="F301" s="60" t="s">
        <v>173</v>
      </c>
      <c r="G301" s="60" t="s">
        <v>173</v>
      </c>
      <c r="L301" s="269"/>
    </row>
    <row r="302" spans="1:13" x14ac:dyDescent="0.3">
      <c r="A302" s="13" t="s">
        <v>1674</v>
      </c>
      <c r="B302" s="16">
        <f>'Ref. Permits'!J6</f>
        <v>644</v>
      </c>
      <c r="C302" s="55">
        <f>B302/(SUM(B$302:B$305))</f>
        <v>1</v>
      </c>
      <c r="D302" s="16">
        <f>'Ref. Permits'!B6</f>
        <v>171</v>
      </c>
      <c r="E302" s="55">
        <f>D302/(SUM(D$302:D$305))</f>
        <v>1</v>
      </c>
      <c r="F302" s="16">
        <f>'Ref. Permits'!R6</f>
        <v>56085</v>
      </c>
      <c r="G302" s="55">
        <f>F302/(SUM(F$302:F$305))</f>
        <v>0.94615112100814813</v>
      </c>
    </row>
    <row r="303" spans="1:13" x14ac:dyDescent="0.3">
      <c r="A303" s="13" t="s">
        <v>1675</v>
      </c>
      <c r="B303" s="16">
        <f>'Ref. Permits'!L6</f>
        <v>0</v>
      </c>
      <c r="C303" s="55">
        <f>B303/(SUM(B$302:B$305))</f>
        <v>0</v>
      </c>
      <c r="D303" s="16">
        <f>'Ref. Permits'!D6</f>
        <v>0</v>
      </c>
      <c r="E303" s="55">
        <f>D303/(SUM(D$302:D$305))</f>
        <v>0</v>
      </c>
      <c r="F303" s="16">
        <f>'Ref. Permits'!T6</f>
        <v>1210</v>
      </c>
      <c r="G303" s="55">
        <f>F303/(SUM(F$302:F$305))</f>
        <v>2.0412638966209491E-2</v>
      </c>
      <c r="L303" s="267"/>
    </row>
    <row r="304" spans="1:13" x14ac:dyDescent="0.3">
      <c r="A304" s="13" t="s">
        <v>1676</v>
      </c>
      <c r="B304" s="16">
        <f>'Ref. Permits'!N6</f>
        <v>0</v>
      </c>
      <c r="C304" s="55">
        <f>B304/(SUM(B$302:B$305))</f>
        <v>0</v>
      </c>
      <c r="D304" s="16">
        <f>'Ref. Permits'!F6</f>
        <v>0</v>
      </c>
      <c r="E304" s="55">
        <f>D304/(SUM(D$302:D$305))</f>
        <v>0</v>
      </c>
      <c r="F304" s="16">
        <f>'Ref. Permits'!V6</f>
        <v>470</v>
      </c>
      <c r="G304" s="55">
        <f>F304/(SUM(F$302:F$305))</f>
        <v>7.9288762926598855E-3</v>
      </c>
      <c r="L304" s="267"/>
    </row>
    <row r="305" spans="1:13" x14ac:dyDescent="0.3">
      <c r="A305" s="13" t="s">
        <v>1677</v>
      </c>
      <c r="B305" s="16">
        <f>'Ref. Permits'!P6</f>
        <v>0</v>
      </c>
      <c r="C305" s="55">
        <f>B305/(SUM(B$302:B$305))</f>
        <v>0</v>
      </c>
      <c r="D305" s="16">
        <f>'Ref. Permits'!H6</f>
        <v>0</v>
      </c>
      <c r="E305" s="55">
        <f>D305/(SUM(D$302:D$305))</f>
        <v>0</v>
      </c>
      <c r="F305" s="16">
        <f>'Ref. Permits'!X6</f>
        <v>1512</v>
      </c>
      <c r="G305" s="55">
        <f>F305/(SUM(F$302:F$305))</f>
        <v>2.5507363732982437E-2</v>
      </c>
      <c r="L305" s="267"/>
    </row>
    <row r="306" spans="1:13" x14ac:dyDescent="0.3">
      <c r="A306" t="s">
        <v>1678</v>
      </c>
      <c r="B306" s="2"/>
      <c r="C306" s="2"/>
      <c r="D306" s="2"/>
      <c r="L306" s="267"/>
      <c r="M306" s="61"/>
    </row>
    <row r="307" spans="1:13" x14ac:dyDescent="0.3">
      <c r="L307" s="267"/>
      <c r="M307" s="42" t="str">
        <f>A306</f>
        <v>Source: U.S. Census Bureau, Building Permits Survey 2019, Table AD:T2</v>
      </c>
    </row>
    <row r="308" spans="1:13" x14ac:dyDescent="0.3">
      <c r="A308" s="1" t="s">
        <v>1679</v>
      </c>
      <c r="B308" s="1" t="s">
        <v>800</v>
      </c>
      <c r="L308" s="267"/>
    </row>
    <row r="309" spans="1:13" x14ac:dyDescent="0.3">
      <c r="A309" s="1" t="s">
        <v>2459</v>
      </c>
      <c r="L309" s="267"/>
      <c r="M309" s="61" t="s">
        <v>1680</v>
      </c>
    </row>
    <row r="310" spans="1:13" ht="57.6" x14ac:dyDescent="0.3">
      <c r="A310" s="60" t="s">
        <v>1681</v>
      </c>
      <c r="B310" s="60" t="s">
        <v>1682</v>
      </c>
      <c r="C310" s="60">
        <v>2015</v>
      </c>
      <c r="D310" s="60">
        <v>2016</v>
      </c>
      <c r="E310" s="60">
        <v>2017</v>
      </c>
      <c r="F310" s="60">
        <v>2018</v>
      </c>
      <c r="G310" s="60">
        <v>2019</v>
      </c>
      <c r="H310" s="60">
        <v>2020</v>
      </c>
      <c r="I310" s="60">
        <v>2021</v>
      </c>
      <c r="J310" s="60" t="s">
        <v>2461</v>
      </c>
      <c r="K310" s="60" t="s">
        <v>1683</v>
      </c>
      <c r="L310" s="267"/>
      <c r="M310" s="61"/>
    </row>
    <row r="311" spans="1:13" x14ac:dyDescent="0.3">
      <c r="A311" s="13" t="s">
        <v>1684</v>
      </c>
      <c r="B311" s="13">
        <f>SUMIFS('Ref. HCD-2020'!$F$3:$F$253,'Ref. HCD-2020'!$B$3:$B$253,Housing!$B$308,'Ref. HCD-2020'!$T$3:$T$253,"2018")</f>
        <v>1352</v>
      </c>
      <c r="C311" s="6">
        <f>SUMIFS('Ref. HCD-2020'!$G$3:$G$253,'Ref. HCD-2020'!$B$3:$B$253,Housing!$B$308,'Ref. HCD-2020'!$D$3:$D$253,Housing!$C$310)</f>
        <v>2</v>
      </c>
      <c r="D311" s="6">
        <f>SUMIFS('Ref. HCD-2020'!$G$3:$G$253,'Ref. HCD-2020'!$B$3:$B$253,Housing!$B$308,'Ref. HCD-2020'!$D$3:$D$253,Housing!$D$310)</f>
        <v>104</v>
      </c>
      <c r="E311" s="6">
        <f>SUMIFS('Ref. HCD-2020'!$G$3:$G$253,'Ref. HCD-2020'!$B$3:$B$253,Housing!$B$308,'Ref. HCD-2020'!$D$3:$D$253,Housing!$E$310)</f>
        <v>6</v>
      </c>
      <c r="F311" s="6">
        <f>SUMIFS('Ref. HCD-2020'!$G$3:$G$253,'Ref. HCD-2020'!$B$3:$B$253,Housing!$B$308,'Ref. HCD-2020'!$D$3:$D$253,Housing!$F$310)</f>
        <v>0</v>
      </c>
      <c r="G311" s="6">
        <f>SUMIFS('Ref. HCD-2020'!$G$3:$G$253,'Ref. HCD-2020'!$B$3:$B$253,Housing!$B$308,'Ref. HCD-2020'!$D$3:$D$253,Housing!$G$310)</f>
        <v>0</v>
      </c>
      <c r="H311" s="6">
        <v>0</v>
      </c>
      <c r="I311" s="263">
        <v>0</v>
      </c>
      <c r="J311" s="263">
        <f>SUM(C311:I311)</f>
        <v>112</v>
      </c>
      <c r="K311" s="140">
        <f>J311/B311</f>
        <v>8.2840236686390539E-2</v>
      </c>
      <c r="L311" s="267"/>
      <c r="M311" s="37"/>
    </row>
    <row r="312" spans="1:13" x14ac:dyDescent="0.3">
      <c r="A312" s="13" t="s">
        <v>1685</v>
      </c>
      <c r="B312" s="13">
        <f>SUMIFS('Ref. HCD-2020'!$J$3:$J$253,'Ref. HCD-2020'!$B$3:$B$253,Housing!$B$308,'Ref. HCD-2020'!$T$3:$T$253,"2018")</f>
        <v>1056</v>
      </c>
      <c r="C312" s="6">
        <f>SUMIFS('Ref. HCD-2020'!$K$3:$K$253,'Ref. HCD-2020'!$B$3:$B$253,Housing!$B$308,'Ref. HCD-2020'!$D$3:$D$253,Housing!$C$310)</f>
        <v>140</v>
      </c>
      <c r="D312" s="6">
        <f>SUMIFS('Ref. HCD-2020'!$K$3:$K$253,'Ref. HCD-2020'!$B$3:$B$253,Housing!$B$308,'Ref. HCD-2020'!$D$3:$D$253,Housing!$D$310)</f>
        <v>304</v>
      </c>
      <c r="E312" s="6">
        <f>SUMIFS('Ref. HCD-2020'!$K$3:$K$253,'Ref. HCD-2020'!$B$3:$B$253,Housing!$B$308,'Ref. HCD-2020'!$D$3:$D$253,Housing!$E$310)</f>
        <v>56</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500</v>
      </c>
      <c r="K312" s="140">
        <f t="shared" ref="K312:K316" si="8">J312/B312</f>
        <v>0.47348484848484851</v>
      </c>
    </row>
    <row r="313" spans="1:13" x14ac:dyDescent="0.3">
      <c r="A313" s="13" t="s">
        <v>1686</v>
      </c>
      <c r="B313" s="13">
        <f>SUMIFS('Ref. HCD-2020'!$N$3:$N$253,'Ref. HCD-2020'!$B$3:$B$253,Housing!$B$308,'Ref. HCD-2020'!$T$3:$T$253,"2018")</f>
        <v>1091</v>
      </c>
      <c r="C313" s="6">
        <f>SUMIFS('Ref. HCD-2020'!$O$3:$O$253,'Ref. HCD-2020'!$B$3:$B$253,Housing!$B$308,'Ref. HCD-2020'!$D$3:$D$253,Housing!$C$310)</f>
        <v>17</v>
      </c>
      <c r="D313" s="6">
        <f>SUMIFS('Ref. HCD-2020'!$O$3:$O$253,'Ref. HCD-2020'!$B$3:$B$253,Housing!$B$308,'Ref. HCD-2020'!$D$3:$D$253,Housing!$D$310)</f>
        <v>82</v>
      </c>
      <c r="E313" s="6">
        <f>SUMIFS('Ref. HCD-2020'!$O$3:$O$253,'Ref. HCD-2020'!$B$3:$B$253,Housing!$B$308,'Ref. HCD-2020'!$D$3:$D$253,Housing!$E$310)</f>
        <v>88</v>
      </c>
      <c r="F313" s="6">
        <f>SUMIFS('Ref. HCD-2020'!$O$3:$O$253,'Ref. HCD-2020'!$B$3:$B$253,Housing!$B$308,'Ref. HCD-2020'!$D$3:$D$253,Housing!$F$310)</f>
        <v>0</v>
      </c>
      <c r="G313" s="6">
        <f>SUMIFS('Ref. HCD-2020'!$O$3:$O$253,'Ref. HCD-2020'!$B$3:$B$253,Housing!$B$308,'Ref. HCD-2020'!$D$3:$D$253,Housing!$G$310)</f>
        <v>0</v>
      </c>
      <c r="H313" s="6">
        <v>0</v>
      </c>
      <c r="I313" s="263">
        <v>0</v>
      </c>
      <c r="J313" s="263">
        <f t="shared" si="7"/>
        <v>187</v>
      </c>
      <c r="K313" s="140">
        <f t="shared" si="8"/>
        <v>0.17140238313473877</v>
      </c>
    </row>
    <row r="314" spans="1:13" x14ac:dyDescent="0.3">
      <c r="A314" s="137" t="s">
        <v>1687</v>
      </c>
      <c r="B314" s="138">
        <f>SUM(B311:B313)</f>
        <v>3499</v>
      </c>
      <c r="C314" s="138">
        <f t="shared" ref="C314:I314" si="9">SUM(C311:C313)</f>
        <v>159</v>
      </c>
      <c r="D314" s="138">
        <f t="shared" si="9"/>
        <v>490</v>
      </c>
      <c r="E314" s="138">
        <f t="shared" si="9"/>
        <v>150</v>
      </c>
      <c r="F314" s="138">
        <f t="shared" si="9"/>
        <v>0</v>
      </c>
      <c r="G314" s="138">
        <f t="shared" si="9"/>
        <v>0</v>
      </c>
      <c r="H314" s="138">
        <f>SUM(H311:H313)</f>
        <v>0</v>
      </c>
      <c r="I314" s="138">
        <f t="shared" si="9"/>
        <v>0</v>
      </c>
      <c r="J314" s="263">
        <f t="shared" si="7"/>
        <v>799</v>
      </c>
      <c r="K314" s="140">
        <f t="shared" si="8"/>
        <v>0.22835095741640468</v>
      </c>
    </row>
    <row r="315" spans="1:13" x14ac:dyDescent="0.3">
      <c r="A315" s="13" t="s">
        <v>1688</v>
      </c>
      <c r="B315" s="13">
        <f>SUMIFS('Ref. HCD-2020'!$P$3:$P$253,'Ref. HCD-2020'!$B$3:$B$253,Housing!$B$308,'Ref. HCD-2020'!$T$3:$T$253,"2018")</f>
        <v>2600</v>
      </c>
      <c r="C315" s="6">
        <f>SUMIFS('Ref. HCD-2020'!$G$3:$G$253,'Ref. HCD-2020'!$B$3:$B$253,Housing!$B$308,'Ref. HCD-2020'!$D$3:$D$253,Housing!$C$310)</f>
        <v>2</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69</v>
      </c>
      <c r="G315" s="6">
        <f>SUMIFS('Ref. HCD-2020'!$Q$3:$Q$253,'Ref. HCD-2020'!$B$3:$B$253,Housing!$B$308,'Ref. HCD-2020'!$D$3:$D$253,Housing!$G$310)</f>
        <v>148</v>
      </c>
      <c r="H315" s="6">
        <v>0</v>
      </c>
      <c r="I315" s="263">
        <v>0</v>
      </c>
      <c r="J315" s="263">
        <f t="shared" si="7"/>
        <v>219</v>
      </c>
      <c r="K315" s="140">
        <f t="shared" si="8"/>
        <v>8.4230769230769234E-2</v>
      </c>
    </row>
    <row r="316" spans="1:13" x14ac:dyDescent="0.3">
      <c r="A316" s="13" t="s">
        <v>1545</v>
      </c>
      <c r="B316" s="6">
        <f>B311+B312+B313+B315</f>
        <v>6099</v>
      </c>
      <c r="C316" s="6">
        <f>C311+C312+C313+C315</f>
        <v>161</v>
      </c>
      <c r="D316" s="6">
        <f>SUMIFS('Ref. HCD-2020'!$S$3:$S$253,'Ref. HCD-2020'!$B$3:$B$253,Housing!$B$308,'Ref. HCD-2020'!$D$3:$D$253,Housing!$D$310)</f>
        <v>490</v>
      </c>
      <c r="E316" s="6">
        <f>SUMIFS('Ref. HCD-2020'!$S$3:$S$253,'Ref. HCD-2020'!$B$3:$B$253,Housing!$B$308,'Ref. HCD-2020'!$D$3:$D$253,Housing!$E$310)</f>
        <v>150</v>
      </c>
      <c r="F316" s="6">
        <f>SUMIFS('Ref. HCD-2020'!$S$3:$S$253,'Ref. HCD-2020'!$B$3:$B$253,Housing!$B$308,'Ref. HCD-2020'!$D$3:$D$253,Housing!$F$310)</f>
        <v>69</v>
      </c>
      <c r="G316" s="6">
        <f>SUMIFS('Ref. HCD-2020'!$S$3:$S$253,'Ref. HCD-2020'!$B$3:$B$253,Housing!$B$308,'Ref. HCD-2020'!$D$3:$D$253,Housing!$G$310)</f>
        <v>148</v>
      </c>
      <c r="H316" s="6">
        <f>H311+H312+H313+H315</f>
        <v>0</v>
      </c>
      <c r="I316" s="6">
        <f>I311+I312+I313+I315</f>
        <v>0</v>
      </c>
      <c r="J316" s="263">
        <f t="shared" si="7"/>
        <v>1018</v>
      </c>
      <c r="K316" s="140">
        <f t="shared" si="8"/>
        <v>0.16691260862436466</v>
      </c>
    </row>
    <row r="317" spans="1:13" x14ac:dyDescent="0.3">
      <c r="A317" s="139" t="s">
        <v>1689</v>
      </c>
      <c r="B317" s="124"/>
      <c r="C317" s="124"/>
      <c r="D317" s="124"/>
      <c r="E317" s="124"/>
      <c r="F317" s="124"/>
      <c r="G317" s="124"/>
      <c r="H317" s="135"/>
      <c r="I317" s="135"/>
      <c r="J317" s="135"/>
      <c r="K317" s="135"/>
    </row>
    <row r="318" spans="1:13" x14ac:dyDescent="0.3">
      <c r="A318" s="356" t="s">
        <v>2542</v>
      </c>
      <c r="B318" s="356"/>
      <c r="C318" s="356"/>
      <c r="D318" s="356"/>
      <c r="E318" s="356"/>
      <c r="F318" s="356"/>
      <c r="G318" s="356"/>
      <c r="H318" s="356"/>
      <c r="I318" s="356"/>
      <c r="J318" s="120"/>
      <c r="K318" s="120"/>
    </row>
    <row r="320" spans="1:13" x14ac:dyDescent="0.3">
      <c r="A320" s="1" t="s">
        <v>1690</v>
      </c>
      <c r="H320" s="2"/>
      <c r="I320" s="2"/>
      <c r="J320" s="2"/>
      <c r="K320" s="2"/>
    </row>
    <row r="321" spans="1:13" ht="28.8" x14ac:dyDescent="0.3">
      <c r="A321" s="48"/>
      <c r="B321" s="108" t="s">
        <v>1682</v>
      </c>
      <c r="H321" s="2"/>
      <c r="I321" s="2"/>
      <c r="J321" s="2"/>
      <c r="K321" s="2"/>
      <c r="M321"/>
    </row>
    <row r="322" spans="1:13" x14ac:dyDescent="0.3">
      <c r="A322" s="110" t="s">
        <v>1691</v>
      </c>
      <c r="B322" s="16">
        <f>J311</f>
        <v>112</v>
      </c>
      <c r="H322" s="2"/>
      <c r="I322" s="2"/>
      <c r="J322" s="2"/>
      <c r="K322" s="2"/>
      <c r="L322" s="271"/>
      <c r="M322" s="42" t="str">
        <f>A317</f>
        <v>Source: California HCD, 5th Cycle Annual Progress Report Permit Summary (2020)</v>
      </c>
    </row>
    <row r="323" spans="1:13" x14ac:dyDescent="0.3">
      <c r="A323" s="110" t="s">
        <v>2509</v>
      </c>
      <c r="B323" s="16">
        <f>J311/2</f>
        <v>56</v>
      </c>
      <c r="H323" s="2"/>
      <c r="I323" s="2"/>
      <c r="J323" s="2"/>
      <c r="K323" s="2"/>
      <c r="L323" s="270"/>
    </row>
    <row r="324" spans="1:13" x14ac:dyDescent="0.3">
      <c r="A324" s="139" t="s">
        <v>1689</v>
      </c>
      <c r="H324" s="2"/>
      <c r="I324" s="2"/>
      <c r="J324" s="2"/>
      <c r="K324" s="2"/>
    </row>
    <row r="325" spans="1:13" x14ac:dyDescent="0.3">
      <c r="A325" s="365" t="s">
        <v>2479</v>
      </c>
      <c r="B325" s="365"/>
      <c r="C325" s="365"/>
      <c r="D325" s="365"/>
      <c r="E325" s="365"/>
      <c r="F325" s="365"/>
      <c r="G325" s="365"/>
      <c r="H325" s="365"/>
      <c r="I325" s="365"/>
      <c r="J325" s="120"/>
      <c r="K325" s="120"/>
      <c r="M325" s="61" t="s">
        <v>1692</v>
      </c>
    </row>
    <row r="326" spans="1:13" x14ac:dyDescent="0.3">
      <c r="A326" s="47"/>
      <c r="H326" s="2"/>
      <c r="I326" s="2"/>
      <c r="J326" s="2"/>
      <c r="K326" s="2"/>
    </row>
    <row r="327" spans="1:13" x14ac:dyDescent="0.3">
      <c r="A327" s="1" t="s">
        <v>2458</v>
      </c>
      <c r="H327" s="2"/>
      <c r="I327" s="2"/>
      <c r="J327" s="2"/>
      <c r="K327" s="2"/>
    </row>
    <row r="328" spans="1:13" ht="28.8" x14ac:dyDescent="0.3">
      <c r="A328" s="48"/>
      <c r="B328" s="60" t="s">
        <v>2460</v>
      </c>
      <c r="H328" s="2"/>
      <c r="I328" s="2"/>
      <c r="J328" s="2"/>
      <c r="K328" s="2"/>
      <c r="L328" s="269"/>
    </row>
    <row r="329" spans="1:13" x14ac:dyDescent="0.3">
      <c r="A329" s="13" t="s">
        <v>1691</v>
      </c>
      <c r="B329" s="16">
        <v>0</v>
      </c>
      <c r="H329" s="2"/>
      <c r="I329" s="2"/>
      <c r="J329" s="2"/>
      <c r="K329" s="2"/>
      <c r="L329" s="278"/>
    </row>
    <row r="330" spans="1:13" x14ac:dyDescent="0.3">
      <c r="A330" s="13" t="s">
        <v>2509</v>
      </c>
      <c r="B330" s="16">
        <v>0</v>
      </c>
      <c r="L330" s="268"/>
    </row>
    <row r="331" spans="1:13" x14ac:dyDescent="0.3">
      <c r="A331" s="47" t="s">
        <v>2462</v>
      </c>
    </row>
    <row r="332" spans="1:13" x14ac:dyDescent="0.3">
      <c r="A332" s="356" t="s">
        <v>2543</v>
      </c>
      <c r="B332" s="356"/>
      <c r="C332" s="356"/>
      <c r="D332" s="356"/>
      <c r="E332" s="356"/>
      <c r="F332" s="356"/>
      <c r="G332" s="356"/>
      <c r="H332" s="356"/>
      <c r="I332" s="356"/>
      <c r="J332" s="120"/>
      <c r="K332" s="120"/>
      <c r="M332" s="42" t="str">
        <f>A317</f>
        <v>Source: California HCD, 5th Cycle Annual Progress Report Permit Summary (2020)</v>
      </c>
    </row>
    <row r="333" spans="1:13" x14ac:dyDescent="0.3">
      <c r="A333" s="365" t="s">
        <v>2480</v>
      </c>
      <c r="B333" s="365"/>
      <c r="C333" s="365"/>
      <c r="D333" s="365"/>
      <c r="E333" s="365"/>
      <c r="F333" s="365"/>
      <c r="G333" s="365"/>
      <c r="H333" s="365"/>
      <c r="I333" s="365"/>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1693</v>
      </c>
      <c r="M337" s="61" t="s">
        <v>2511</v>
      </c>
    </row>
    <row r="338" spans="1:13" ht="28.95" customHeight="1" x14ac:dyDescent="0.3">
      <c r="A338" s="80"/>
      <c r="B338" s="60" t="str">
        <f>B3</f>
        <v>City of Madera</v>
      </c>
      <c r="C338" s="60"/>
      <c r="D338" s="60" t="str">
        <f>B4</f>
        <v>Madera County</v>
      </c>
      <c r="E338" s="60" t="s">
        <v>1445</v>
      </c>
      <c r="F338" s="60" t="s">
        <v>173</v>
      </c>
      <c r="G338" s="60" t="s">
        <v>1446</v>
      </c>
      <c r="H338" s="58"/>
      <c r="I338" s="58"/>
      <c r="J338" s="58"/>
      <c r="K338" s="58"/>
    </row>
    <row r="339" spans="1:13" x14ac:dyDescent="0.3">
      <c r="A339" t="s">
        <v>1694</v>
      </c>
      <c r="B339" s="10">
        <f>'Ref. ACS-5-YR'!H1205</f>
        <v>237500</v>
      </c>
      <c r="C339" s="55"/>
      <c r="D339" s="10">
        <f>'Ref. ACS-5-YR'!R1205</f>
        <v>268500</v>
      </c>
      <c r="E339" s="55">
        <f>B339/D339</f>
        <v>0.88454376163873372</v>
      </c>
      <c r="F339" s="10">
        <f>'Ref. ACS-5-YR'!AB1205</f>
        <v>538500</v>
      </c>
      <c r="G339" s="55">
        <f>B339/F339</f>
        <v>0.44103992571959144</v>
      </c>
      <c r="H339" s="54"/>
      <c r="I339" s="54"/>
      <c r="J339" s="54"/>
      <c r="K339" s="54"/>
    </row>
    <row r="340" spans="1:13" x14ac:dyDescent="0.3">
      <c r="A340" t="s">
        <v>1695</v>
      </c>
    </row>
    <row r="341" spans="1:13" x14ac:dyDescent="0.3">
      <c r="A341" s="355" t="s">
        <v>2540</v>
      </c>
      <c r="B341" s="355"/>
      <c r="C341" s="355"/>
      <c r="D341" s="355"/>
      <c r="E341" s="355"/>
      <c r="F341" s="355"/>
      <c r="G341" s="355"/>
      <c r="H341" s="362"/>
      <c r="I341" s="362"/>
    </row>
    <row r="344" spans="1:13" x14ac:dyDescent="0.3">
      <c r="A344" s="88" t="s">
        <v>1696</v>
      </c>
    </row>
    <row r="345" spans="1:13" x14ac:dyDescent="0.3">
      <c r="A345" s="80"/>
      <c r="B345" s="51">
        <v>1980</v>
      </c>
      <c r="C345" s="51">
        <v>1990</v>
      </c>
      <c r="D345" s="51">
        <v>2000</v>
      </c>
      <c r="E345" s="51">
        <v>2010</v>
      </c>
      <c r="F345" s="51">
        <v>2020</v>
      </c>
      <c r="H345" s="52"/>
      <c r="I345" s="52"/>
      <c r="J345" s="52"/>
      <c r="K345" s="52"/>
    </row>
    <row r="346" spans="1:13" x14ac:dyDescent="0.3">
      <c r="A346" s="13" t="s">
        <v>1697</v>
      </c>
      <c r="B346" s="10">
        <f>'Ref. DC-1980'!B18</f>
        <v>51500</v>
      </c>
      <c r="C346" s="10">
        <f>'Ref. DC-1990'!B95</f>
        <v>68900</v>
      </c>
      <c r="D346" s="10">
        <f>'Ref. DC-2000'!B64</f>
        <v>92300</v>
      </c>
      <c r="E346" s="10">
        <f>'Ref. ACS-5-YR'!B1205</f>
        <v>230300</v>
      </c>
      <c r="F346" s="10">
        <f>'Ref. ACS-5-YR'!H1205</f>
        <v>237500</v>
      </c>
      <c r="H346" s="24"/>
      <c r="I346" s="24"/>
      <c r="J346" s="24"/>
      <c r="K346" s="24"/>
    </row>
    <row r="347" spans="1:13" x14ac:dyDescent="0.3">
      <c r="A347" s="13" t="s">
        <v>177</v>
      </c>
      <c r="B347" s="3"/>
      <c r="C347" s="4">
        <f>(C346-B346)/B346</f>
        <v>0.3378640776699029</v>
      </c>
      <c r="D347" s="4">
        <f t="shared" ref="D347:F347" si="10">(D346-C346)/C346</f>
        <v>0.33962264150943394</v>
      </c>
      <c r="E347" s="4">
        <f t="shared" si="10"/>
        <v>1.495124593716143</v>
      </c>
      <c r="F347" s="4">
        <f t="shared" si="10"/>
        <v>3.1263569257490229E-2</v>
      </c>
      <c r="H347" s="19"/>
      <c r="I347" s="19"/>
      <c r="J347" s="19"/>
      <c r="K347" s="19"/>
    </row>
    <row r="348" spans="1:13" x14ac:dyDescent="0.3">
      <c r="A348" t="s">
        <v>1698</v>
      </c>
    </row>
    <row r="349" spans="1:13" x14ac:dyDescent="0.3">
      <c r="A349" s="355" t="s">
        <v>2540</v>
      </c>
      <c r="B349" s="355"/>
      <c r="C349" s="355"/>
      <c r="D349" s="355"/>
      <c r="E349" s="355"/>
      <c r="F349" s="355"/>
      <c r="G349" s="355"/>
      <c r="H349" s="367"/>
      <c r="I349" s="367"/>
    </row>
    <row r="350" spans="1:13" x14ac:dyDescent="0.3">
      <c r="A350" s="359" t="s">
        <v>2473</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146</v>
      </c>
      <c r="N356" s="1" t="s">
        <v>2544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1699</v>
      </c>
    </row>
    <row r="382" spans="13:13" ht="57.6" x14ac:dyDescent="0.3">
      <c r="M382" s="290" t="s">
        <v>1700</v>
      </c>
    </row>
    <row r="383" spans="13:13" ht="28.8" x14ac:dyDescent="0.3">
      <c r="M383" s="291" t="s">
        <v>2545</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1699</v>
      </c>
    </row>
    <row r="415" spans="13:13" x14ac:dyDescent="0.3">
      <c r="M415" s="290" t="s">
        <v>1701</v>
      </c>
    </row>
    <row r="416" spans="13:13" ht="28.8" x14ac:dyDescent="0.3">
      <c r="M416" s="291" t="s">
        <v>2545</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1699</v>
      </c>
    </row>
    <row r="450" spans="13:13" ht="43.2" x14ac:dyDescent="0.3">
      <c r="M450" s="290" t="s">
        <v>1702</v>
      </c>
    </row>
    <row r="451" spans="13:13" ht="28.8" x14ac:dyDescent="0.3">
      <c r="M451" s="291" t="s">
        <v>2545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2516</v>
      </c>
    </row>
    <row r="2" spans="1:18" x14ac:dyDescent="0.3">
      <c r="A2" t="s">
        <v>2530</v>
      </c>
    </row>
    <row r="4" spans="1:18" ht="43.95" customHeight="1" x14ac:dyDescent="0.3">
      <c r="A4" s="369" t="s">
        <v>2531</v>
      </c>
      <c r="B4" s="369"/>
      <c r="C4" s="369"/>
      <c r="D4" s="369"/>
      <c r="E4" s="369"/>
      <c r="F4" s="369"/>
      <c r="G4" s="369"/>
      <c r="H4" s="369"/>
      <c r="I4" s="369"/>
      <c r="J4" s="369"/>
      <c r="K4" s="369"/>
      <c r="L4" s="369"/>
      <c r="M4" s="369"/>
      <c r="N4" s="369"/>
      <c r="O4" s="369"/>
      <c r="P4" s="369"/>
      <c r="Q4" s="369"/>
      <c r="R4" s="369"/>
    </row>
    <row r="6" spans="1:18" ht="30" customHeight="1" x14ac:dyDescent="0.3">
      <c r="A6" s="369" t="s">
        <v>2532</v>
      </c>
      <c r="B6" s="369"/>
      <c r="C6" s="369"/>
      <c r="D6" s="369"/>
      <c r="E6" s="369"/>
      <c r="F6" s="369"/>
      <c r="G6" s="369"/>
      <c r="H6" s="369"/>
      <c r="I6" s="369"/>
      <c r="J6" s="369"/>
      <c r="K6" s="369"/>
      <c r="L6" s="369"/>
      <c r="M6" s="369"/>
      <c r="N6" s="369"/>
      <c r="O6" s="369"/>
      <c r="P6" s="369"/>
      <c r="Q6" s="369"/>
      <c r="R6" s="369"/>
    </row>
    <row r="8" spans="1:18" ht="44.4" customHeight="1" x14ac:dyDescent="0.3">
      <c r="A8" s="369" t="s">
        <v>2533</v>
      </c>
      <c r="B8" s="369"/>
      <c r="C8" s="369"/>
      <c r="D8" s="369"/>
      <c r="E8" s="369"/>
      <c r="F8" s="369"/>
      <c r="G8" s="369"/>
      <c r="H8" s="369"/>
      <c r="I8" s="369"/>
      <c r="J8" s="369"/>
      <c r="K8" s="369"/>
      <c r="L8" s="369"/>
      <c r="M8" s="369"/>
      <c r="N8" s="369"/>
      <c r="O8" s="369"/>
      <c r="P8" s="369"/>
      <c r="Q8" s="369"/>
      <c r="R8" s="369"/>
    </row>
    <row r="10" spans="1:18" ht="43.2" customHeight="1" x14ac:dyDescent="0.3">
      <c r="A10" s="369" t="s">
        <v>2534</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2535</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2536</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1703</v>
      </c>
      <c r="C1" s="370"/>
      <c r="D1" s="370"/>
      <c r="E1" s="370"/>
      <c r="F1" s="370"/>
      <c r="G1" s="370"/>
    </row>
    <row r="2" spans="1:31" x14ac:dyDescent="0.3">
      <c r="A2" t="s">
        <v>172</v>
      </c>
      <c r="B2" s="371" t="str">
        <f>Population!B3</f>
        <v>City of Madera</v>
      </c>
      <c r="C2" s="371"/>
      <c r="D2" s="371"/>
      <c r="E2" s="371"/>
      <c r="F2" s="371"/>
      <c r="G2" s="371"/>
      <c r="H2" s="371"/>
      <c r="I2" s="371"/>
      <c r="J2" s="371"/>
      <c r="K2" s="371"/>
      <c r="L2" s="371" t="str">
        <f>Population!B4</f>
        <v>Madera County</v>
      </c>
      <c r="M2" s="371"/>
      <c r="N2" s="371"/>
      <c r="O2" s="371"/>
      <c r="P2" s="371"/>
      <c r="Q2" s="371"/>
      <c r="R2" s="371"/>
      <c r="S2" s="371"/>
      <c r="T2" s="371"/>
      <c r="U2" s="371"/>
      <c r="V2" s="371" t="s">
        <v>173</v>
      </c>
      <c r="W2" s="371"/>
      <c r="X2" s="371"/>
      <c r="Y2" s="371"/>
      <c r="Z2" s="371"/>
      <c r="AA2" s="371"/>
      <c r="AB2" s="371"/>
      <c r="AC2" s="371"/>
      <c r="AD2" s="371"/>
      <c r="AE2" s="371"/>
    </row>
    <row r="3" spans="1:31" s="22" customFormat="1" ht="28.8" x14ac:dyDescent="0.3">
      <c r="A3" s="195"/>
      <c r="B3" s="372">
        <v>2010</v>
      </c>
      <c r="C3" s="372"/>
      <c r="D3" s="372"/>
      <c r="E3" s="372">
        <v>2015</v>
      </c>
      <c r="F3" s="372"/>
      <c r="G3" s="372"/>
      <c r="H3" s="372">
        <v>2020</v>
      </c>
      <c r="I3" s="372"/>
      <c r="J3" s="372"/>
      <c r="K3" s="21" t="s">
        <v>1704</v>
      </c>
      <c r="L3" s="372">
        <v>2010</v>
      </c>
      <c r="M3" s="372"/>
      <c r="N3" s="372"/>
      <c r="O3" s="372">
        <v>2015</v>
      </c>
      <c r="P3" s="372"/>
      <c r="Q3" s="372"/>
      <c r="R3" s="372">
        <v>2020</v>
      </c>
      <c r="S3" s="372"/>
      <c r="T3" s="372"/>
      <c r="U3" s="21" t="s">
        <v>1704</v>
      </c>
      <c r="V3" s="372">
        <v>2010</v>
      </c>
      <c r="W3" s="372"/>
      <c r="X3" s="372"/>
      <c r="Y3" s="372">
        <v>2015</v>
      </c>
      <c r="Z3" s="372"/>
      <c r="AA3" s="372"/>
      <c r="AB3" s="372">
        <v>2020</v>
      </c>
      <c r="AC3" s="372"/>
      <c r="AD3" s="372"/>
      <c r="AE3" s="21" t="s">
        <v>1704</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1705</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1706</v>
      </c>
      <c r="C6" s="304"/>
      <c r="D6" s="304" t="s">
        <v>1707</v>
      </c>
      <c r="E6" s="304" t="s">
        <v>1706</v>
      </c>
      <c r="F6" s="304"/>
      <c r="G6" s="304" t="s">
        <v>1707</v>
      </c>
      <c r="H6" s="304" t="s">
        <v>1706</v>
      </c>
      <c r="I6" s="304"/>
      <c r="J6" s="304" t="s">
        <v>1707</v>
      </c>
      <c r="K6" t="s">
        <v>172</v>
      </c>
      <c r="L6" s="304" t="s">
        <v>1706</v>
      </c>
      <c r="M6" s="304"/>
      <c r="N6" s="304" t="s">
        <v>1707</v>
      </c>
      <c r="O6" s="304" t="s">
        <v>1706</v>
      </c>
      <c r="P6" s="304"/>
      <c r="Q6" s="304" t="s">
        <v>1707</v>
      </c>
      <c r="R6" s="304" t="s">
        <v>1706</v>
      </c>
      <c r="S6" s="304"/>
      <c r="T6" s="304" t="s">
        <v>1707</v>
      </c>
      <c r="U6" t="s">
        <v>172</v>
      </c>
      <c r="V6" s="207" t="s">
        <v>1706</v>
      </c>
      <c r="W6" s="207"/>
      <c r="X6" s="207" t="s">
        <v>1707</v>
      </c>
      <c r="Y6" s="207" t="s">
        <v>1706</v>
      </c>
      <c r="Z6" s="207"/>
      <c r="AA6" s="207" t="s">
        <v>1707</v>
      </c>
      <c r="AB6" s="207" t="s">
        <v>1706</v>
      </c>
      <c r="AC6" s="207"/>
      <c r="AD6" s="207" t="s">
        <v>1707</v>
      </c>
      <c r="AE6" t="s">
        <v>172</v>
      </c>
    </row>
    <row r="7" spans="1:31" x14ac:dyDescent="0.3">
      <c r="A7" t="s">
        <v>174</v>
      </c>
      <c r="B7" s="2">
        <v>59006</v>
      </c>
      <c r="C7" t="s">
        <v>172</v>
      </c>
      <c r="D7" s="2">
        <v>26.6666666666666</v>
      </c>
      <c r="E7" s="2">
        <v>63053</v>
      </c>
      <c r="F7" t="s">
        <v>172</v>
      </c>
      <c r="G7" s="2">
        <v>26.060606060605998</v>
      </c>
      <c r="H7" s="2">
        <v>65575</v>
      </c>
      <c r="I7" t="s">
        <v>172</v>
      </c>
      <c r="J7" s="14">
        <v>24.848483999999999</v>
      </c>
      <c r="K7" s="301">
        <v>0.11132766159373624</v>
      </c>
      <c r="L7" s="2">
        <v>147738</v>
      </c>
      <c r="M7" t="s">
        <v>172</v>
      </c>
      <c r="N7" s="2">
        <v>0</v>
      </c>
      <c r="O7" s="2">
        <v>153187</v>
      </c>
      <c r="P7" t="s">
        <v>172</v>
      </c>
      <c r="Q7" s="2">
        <v>0</v>
      </c>
      <c r="R7" s="2">
        <v>155925</v>
      </c>
      <c r="S7" t="s">
        <v>172</v>
      </c>
      <c r="T7" s="14">
        <v>0</v>
      </c>
      <c r="U7" s="301">
        <v>5.541566827762661E-2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30471</v>
      </c>
      <c r="C8" s="301">
        <v>0.51640511134460898</v>
      </c>
      <c r="D8" s="2">
        <v>435.15151515151501</v>
      </c>
      <c r="E8" s="2">
        <v>31003</v>
      </c>
      <c r="F8" s="301">
        <v>0.49169746086625538</v>
      </c>
      <c r="G8" s="14">
        <v>368.48484848484799</v>
      </c>
      <c r="H8" s="2">
        <v>32142</v>
      </c>
      <c r="I8" s="301">
        <v>0.49015630956919559</v>
      </c>
      <c r="J8" s="14">
        <v>350.90910000000002</v>
      </c>
      <c r="K8" s="301">
        <v>5.4839027271832236E-2</v>
      </c>
      <c r="L8" s="2">
        <v>71232</v>
      </c>
      <c r="M8" s="301">
        <v>0.48215083458555008</v>
      </c>
      <c r="N8" s="2">
        <v>96.363636363636402</v>
      </c>
      <c r="O8" s="2">
        <v>73863</v>
      </c>
      <c r="P8" s="301">
        <v>0.48217538041739832</v>
      </c>
      <c r="Q8" s="14">
        <v>123.030303030303</v>
      </c>
      <c r="R8" s="2">
        <v>75307</v>
      </c>
      <c r="S8" s="301">
        <v>0.48296937630270964</v>
      </c>
      <c r="T8" s="14">
        <v>86.666664100000006</v>
      </c>
      <c r="U8" s="301">
        <v>5.7207434860736747E-2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3380</v>
      </c>
      <c r="C9" s="301">
        <v>5.7282310273531506E-2</v>
      </c>
      <c r="D9" s="2">
        <v>198.18181818181799</v>
      </c>
      <c r="E9" s="2">
        <v>3034</v>
      </c>
      <c r="F9" s="301">
        <v>4.8118249726420627E-2</v>
      </c>
      <c r="G9" s="14">
        <v>180</v>
      </c>
      <c r="H9" s="2">
        <v>2870</v>
      </c>
      <c r="I9" s="301">
        <v>4.3766679374761724E-2</v>
      </c>
      <c r="J9" s="14">
        <v>210.909088</v>
      </c>
      <c r="K9" s="301">
        <v>-0.15088757396449703</v>
      </c>
      <c r="L9" s="2">
        <v>6074</v>
      </c>
      <c r="M9" s="301">
        <v>4.1113322232600953E-2</v>
      </c>
      <c r="N9" s="2">
        <v>67.878787878787804</v>
      </c>
      <c r="O9" s="2">
        <v>5856</v>
      </c>
      <c r="P9" s="301">
        <v>3.822778695320099E-2</v>
      </c>
      <c r="Q9" s="14">
        <v>65.454545454545396</v>
      </c>
      <c r="R9" s="2">
        <v>5847</v>
      </c>
      <c r="S9" s="301">
        <v>3.7498797498797497E-2</v>
      </c>
      <c r="T9" s="14">
        <v>50.9090919</v>
      </c>
      <c r="U9" s="301">
        <v>-3.7372406980572932E-2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1708</v>
      </c>
      <c r="B10" s="2">
        <v>2805</v>
      </c>
      <c r="C10" s="301">
        <v>4.7537538555401146E-2</v>
      </c>
      <c r="D10" s="2">
        <v>200</v>
      </c>
      <c r="E10" s="2">
        <v>3002</v>
      </c>
      <c r="F10" s="301">
        <v>4.7610740170967281E-2</v>
      </c>
      <c r="G10" s="14">
        <v>220.60606060606</v>
      </c>
      <c r="H10" s="2">
        <v>2904</v>
      </c>
      <c r="I10" s="301">
        <v>4.4285169653069008E-2</v>
      </c>
      <c r="J10" s="14">
        <v>249.69697600000001</v>
      </c>
      <c r="K10" s="301">
        <v>3.5294117647058823E-2</v>
      </c>
      <c r="L10" s="2">
        <v>5637</v>
      </c>
      <c r="M10" s="301">
        <v>3.8155383178329207E-2</v>
      </c>
      <c r="N10" s="2">
        <v>229.69696969696901</v>
      </c>
      <c r="O10" s="2">
        <v>5900</v>
      </c>
      <c r="P10" s="301">
        <v>3.8515017592876677E-2</v>
      </c>
      <c r="Q10" s="14">
        <v>276.969696969697</v>
      </c>
      <c r="R10" s="2">
        <v>5949</v>
      </c>
      <c r="S10" s="301">
        <v>3.8152958152958154E-2</v>
      </c>
      <c r="T10" s="14">
        <v>290.30304000000001</v>
      </c>
      <c r="U10" s="301">
        <v>5.534858967535923E-2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1709</v>
      </c>
      <c r="B11" s="2">
        <v>3088</v>
      </c>
      <c r="C11" s="301">
        <v>5.2333660983628787E-2</v>
      </c>
      <c r="D11" s="2">
        <v>249.69696969696901</v>
      </c>
      <c r="E11" s="2">
        <v>2764</v>
      </c>
      <c r="F11" s="301">
        <v>4.3836137852282998E-2</v>
      </c>
      <c r="G11" s="2">
        <v>208.48484848484799</v>
      </c>
      <c r="H11" s="2">
        <v>3167</v>
      </c>
      <c r="I11" s="301">
        <v>4.8295844452916507E-2</v>
      </c>
      <c r="J11" s="14">
        <v>262.42425500000002</v>
      </c>
      <c r="K11" s="301">
        <v>2.5582901554404146E-2</v>
      </c>
      <c r="L11" s="2">
        <v>6102</v>
      </c>
      <c r="M11" s="301">
        <v>4.1302846931730496E-2</v>
      </c>
      <c r="N11" s="2">
        <v>247.87878787878699</v>
      </c>
      <c r="O11" s="2">
        <v>6215</v>
      </c>
      <c r="P11" s="301">
        <v>4.0571327854191284E-2</v>
      </c>
      <c r="Q11" s="2">
        <v>260</v>
      </c>
      <c r="R11" s="2">
        <v>6424</v>
      </c>
      <c r="S11" s="301">
        <v>4.1199294532627863E-2</v>
      </c>
      <c r="T11" s="14">
        <v>296.36364700000001</v>
      </c>
      <c r="U11" s="301">
        <v>5.2769583743035073E-2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1710</v>
      </c>
      <c r="B12" s="2">
        <v>1707</v>
      </c>
      <c r="C12" s="301">
        <v>2.8929261431040913E-2</v>
      </c>
      <c r="D12" s="2">
        <v>135.75757575757501</v>
      </c>
      <c r="E12" s="2">
        <v>1827</v>
      </c>
      <c r="F12" s="301">
        <v>2.897562368166463E-2</v>
      </c>
      <c r="G12" s="14">
        <v>138.18181818181799</v>
      </c>
      <c r="H12" s="2">
        <v>1916</v>
      </c>
      <c r="I12" s="301">
        <v>2.9218452154022113E-2</v>
      </c>
      <c r="J12" s="14">
        <v>118.78788</v>
      </c>
      <c r="K12" s="301">
        <v>0.12243702401874634</v>
      </c>
      <c r="L12" s="2">
        <v>4036</v>
      </c>
      <c r="M12" s="301">
        <v>2.7318631631672283E-2</v>
      </c>
      <c r="N12" s="2">
        <v>90.909090909090907</v>
      </c>
      <c r="O12" s="2">
        <v>3673</v>
      </c>
      <c r="P12" s="301">
        <v>2.3977230443836619E-2</v>
      </c>
      <c r="Q12" s="14">
        <v>60.606060606060602</v>
      </c>
      <c r="R12" s="2">
        <v>3497</v>
      </c>
      <c r="S12" s="301">
        <v>2.2427449094115762E-2</v>
      </c>
      <c r="T12" s="14">
        <v>43.636364</v>
      </c>
      <c r="U12" s="301">
        <v>-0.13354806739345887</v>
      </c>
      <c r="V12" s="2">
        <v>867657</v>
      </c>
      <c r="W12" s="27">
        <v>2.4E-2</v>
      </c>
      <c r="X12" s="2">
        <v>320</v>
      </c>
      <c r="Y12" s="2">
        <v>811114</v>
      </c>
      <c r="Z12" s="27">
        <v>2.1000000000000001E-2</v>
      </c>
      <c r="AA12" s="14">
        <v>343.03</v>
      </c>
      <c r="AB12" s="2">
        <v>774841</v>
      </c>
      <c r="AC12" s="27">
        <v>0.02</v>
      </c>
      <c r="AD12" s="14">
        <v>402.42</v>
      </c>
      <c r="AE12" s="27">
        <v>-0.107</v>
      </c>
    </row>
    <row r="13" spans="1:31" x14ac:dyDescent="0.3">
      <c r="A13" t="s">
        <v>1711</v>
      </c>
      <c r="B13" s="2">
        <v>1303</v>
      </c>
      <c r="C13" s="301">
        <v>2.2082500084737146E-2</v>
      </c>
      <c r="D13" s="2">
        <v>116.363636363636</v>
      </c>
      <c r="E13" s="2">
        <v>1038</v>
      </c>
      <c r="F13" s="301">
        <v>1.6462341205018001E-2</v>
      </c>
      <c r="G13" s="14">
        <v>116.363636363636</v>
      </c>
      <c r="H13" s="2">
        <v>1084</v>
      </c>
      <c r="I13" s="301">
        <v>1.6530690049561571E-2</v>
      </c>
      <c r="J13" s="14">
        <v>107.878784</v>
      </c>
      <c r="K13" s="301">
        <v>-0.16807367613200308</v>
      </c>
      <c r="L13" s="2">
        <v>2466</v>
      </c>
      <c r="M13" s="301">
        <v>1.6691711001908784E-2</v>
      </c>
      <c r="N13" s="2">
        <v>50.909090909090899</v>
      </c>
      <c r="O13" s="2">
        <v>2161</v>
      </c>
      <c r="P13" s="301">
        <v>1.4106941189526526E-2</v>
      </c>
      <c r="Q13" s="14">
        <v>40</v>
      </c>
      <c r="R13" s="2">
        <v>2275</v>
      </c>
      <c r="S13" s="301">
        <v>1.4590347923681257E-2</v>
      </c>
      <c r="T13" s="14">
        <v>78.181816100000006</v>
      </c>
      <c r="U13" s="301">
        <v>-7.7453365774533656E-2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531</v>
      </c>
      <c r="C14" s="301">
        <v>8.9990848388299492E-3</v>
      </c>
      <c r="D14" s="2">
        <v>107.87878787878699</v>
      </c>
      <c r="E14" s="2">
        <v>722</v>
      </c>
      <c r="F14" s="301">
        <v>1.1450684344916182E-2</v>
      </c>
      <c r="G14" s="14">
        <v>131.51515151515099</v>
      </c>
      <c r="H14" s="2">
        <v>489</v>
      </c>
      <c r="I14" s="301">
        <v>7.45711017918414E-3</v>
      </c>
      <c r="J14" s="14">
        <v>122.42424</v>
      </c>
      <c r="K14" s="301">
        <v>-7.909604519774012E-2</v>
      </c>
      <c r="L14" s="2">
        <v>980</v>
      </c>
      <c r="M14" s="301">
        <v>6.6333644695339049E-3</v>
      </c>
      <c r="N14" s="2">
        <v>160.60606060606</v>
      </c>
      <c r="O14" s="2">
        <v>1306</v>
      </c>
      <c r="P14" s="301">
        <v>8.5255276231011763E-3</v>
      </c>
      <c r="Q14" s="14">
        <v>166.666666666666</v>
      </c>
      <c r="R14" s="2">
        <v>1241</v>
      </c>
      <c r="S14" s="301">
        <v>7.9589546256212916E-3</v>
      </c>
      <c r="T14" s="14">
        <v>161.21212800000001</v>
      </c>
      <c r="U14" s="301">
        <v>0.26632653061224487</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715</v>
      </c>
      <c r="C15" s="301">
        <v>1.2117411788631665E-2</v>
      </c>
      <c r="D15" s="2">
        <v>118.181818181818</v>
      </c>
      <c r="E15" s="2">
        <v>437</v>
      </c>
      <c r="F15" s="301">
        <v>6.9306773666597942E-3</v>
      </c>
      <c r="G15" s="14">
        <v>101.212121212121</v>
      </c>
      <c r="H15" s="2">
        <v>802</v>
      </c>
      <c r="I15" s="301">
        <v>1.2230270682424705E-2</v>
      </c>
      <c r="J15" s="14">
        <v>158.18182400000001</v>
      </c>
      <c r="K15" s="301">
        <v>0.12167832167832168</v>
      </c>
      <c r="L15" s="2">
        <v>1458</v>
      </c>
      <c r="M15" s="301">
        <v>9.8688218332453389E-3</v>
      </c>
      <c r="N15" s="2">
        <v>147.272727272727</v>
      </c>
      <c r="O15" s="2">
        <v>1008</v>
      </c>
      <c r="P15" s="301">
        <v>6.5801928362067275E-3</v>
      </c>
      <c r="Q15" s="14">
        <v>131.51515151515099</v>
      </c>
      <c r="R15" s="2">
        <v>1182</v>
      </c>
      <c r="S15" s="301">
        <v>7.5805675805675809E-3</v>
      </c>
      <c r="T15" s="14">
        <v>173.939392</v>
      </c>
      <c r="U15" s="301">
        <v>-0.18930041152263374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1712</v>
      </c>
      <c r="B16" s="2">
        <v>1458</v>
      </c>
      <c r="C16" s="301">
        <v>2.4709351591363591E-2</v>
      </c>
      <c r="D16" s="2">
        <v>142.42424242424201</v>
      </c>
      <c r="E16" s="2">
        <v>1840</v>
      </c>
      <c r="F16" s="301">
        <v>2.9181799438567555E-2</v>
      </c>
      <c r="G16" s="14">
        <v>167.272727272727</v>
      </c>
      <c r="H16" s="2">
        <v>1259</v>
      </c>
      <c r="I16" s="301">
        <v>1.9199390011437285E-2</v>
      </c>
      <c r="J16" s="14">
        <v>146.060608</v>
      </c>
      <c r="K16" s="301">
        <v>-0.13648834019204389</v>
      </c>
      <c r="L16" s="2">
        <v>2831</v>
      </c>
      <c r="M16" s="301">
        <v>1.9162300829847434E-2</v>
      </c>
      <c r="N16" s="2">
        <v>174.54545454545399</v>
      </c>
      <c r="O16" s="2">
        <v>3430</v>
      </c>
      <c r="P16" s="301">
        <v>2.2390933956536782E-2</v>
      </c>
      <c r="Q16" s="14">
        <v>245.45454545454501</v>
      </c>
      <c r="R16" s="2">
        <v>2706</v>
      </c>
      <c r="S16" s="301">
        <v>1.7354497354497355E-2</v>
      </c>
      <c r="T16" s="14">
        <v>192.121216</v>
      </c>
      <c r="U16" s="301">
        <v>-4.4154009184033907E-2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1713</v>
      </c>
      <c r="B17" s="2">
        <v>2395</v>
      </c>
      <c r="C17" s="301">
        <v>4.0589092634647321E-2</v>
      </c>
      <c r="D17" s="2">
        <v>181.81818181818099</v>
      </c>
      <c r="E17" s="2">
        <v>2420</v>
      </c>
      <c r="F17" s="301">
        <v>3.8380410131159504E-2</v>
      </c>
      <c r="G17" s="14">
        <v>163.636363636363</v>
      </c>
      <c r="H17" s="2">
        <v>2672</v>
      </c>
      <c r="I17" s="301">
        <v>4.0747235989325198E-2</v>
      </c>
      <c r="J17" s="14">
        <v>187.27271999999999</v>
      </c>
      <c r="K17" s="301">
        <v>0.11565762004175366</v>
      </c>
      <c r="L17" s="2">
        <v>4682</v>
      </c>
      <c r="M17" s="301">
        <v>3.169123719016096E-2</v>
      </c>
      <c r="N17" s="2">
        <v>58.181818181818201</v>
      </c>
      <c r="O17" s="2">
        <v>4877</v>
      </c>
      <c r="P17" s="301">
        <v>3.1836905220416878E-2</v>
      </c>
      <c r="Q17" s="14">
        <v>50.909090909090899</v>
      </c>
      <c r="R17" s="2">
        <v>5303</v>
      </c>
      <c r="S17" s="301">
        <v>3.4009940676607342E-2</v>
      </c>
      <c r="T17" s="14">
        <v>54.5454559</v>
      </c>
      <c r="U17" s="301">
        <v>0.13263562580093977</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1714</v>
      </c>
      <c r="B18" s="2">
        <v>2123</v>
      </c>
      <c r="C18" s="301">
        <v>3.5979391926244789E-2</v>
      </c>
      <c r="D18" s="2">
        <v>150.30303030303</v>
      </c>
      <c r="E18" s="2">
        <v>2175</v>
      </c>
      <c r="F18" s="301">
        <v>3.4494790097219799E-2</v>
      </c>
      <c r="G18" s="14">
        <v>176.363636363636</v>
      </c>
      <c r="H18" s="2">
        <v>2354</v>
      </c>
      <c r="I18" s="301">
        <v>3.5897826915745328E-2</v>
      </c>
      <c r="J18" s="14">
        <v>136.96969999999999</v>
      </c>
      <c r="K18" s="301">
        <v>0.10880829015544041</v>
      </c>
      <c r="L18" s="2">
        <v>4365</v>
      </c>
      <c r="M18" s="301">
        <v>2.9545546846444382E-2</v>
      </c>
      <c r="N18" s="2">
        <v>52.727272727272698</v>
      </c>
      <c r="O18" s="2">
        <v>4881</v>
      </c>
      <c r="P18" s="301">
        <v>3.1863017096751031E-2</v>
      </c>
      <c r="Q18" s="14">
        <v>104.24242424242399</v>
      </c>
      <c r="R18" s="2">
        <v>4840</v>
      </c>
      <c r="S18" s="301">
        <v>3.1040564373897708E-2</v>
      </c>
      <c r="T18" s="14">
        <v>53.939392099999999</v>
      </c>
      <c r="U18" s="301">
        <v>0.10882016036655212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1715</v>
      </c>
      <c r="B19" s="2">
        <v>2033</v>
      </c>
      <c r="C19" s="301">
        <v>3.4454123309493948E-2</v>
      </c>
      <c r="D19" s="2">
        <v>162.42424242424201</v>
      </c>
      <c r="E19" s="2">
        <v>2014</v>
      </c>
      <c r="F19" s="301">
        <v>3.1941382646345141E-2</v>
      </c>
      <c r="G19" s="14">
        <v>180.60606060606</v>
      </c>
      <c r="H19" s="2">
        <v>2177</v>
      </c>
      <c r="I19" s="301">
        <v>3.3198627525733895E-2</v>
      </c>
      <c r="J19" s="14">
        <v>209.090912</v>
      </c>
      <c r="K19" s="301">
        <v>7.0831283817019183E-2</v>
      </c>
      <c r="L19" s="2">
        <v>4548</v>
      </c>
      <c r="M19" s="301">
        <v>3.0784226130041017E-2</v>
      </c>
      <c r="N19" s="2">
        <v>212.72727272727201</v>
      </c>
      <c r="O19" s="2">
        <v>4326</v>
      </c>
      <c r="P19" s="301">
        <v>2.8239994255387205E-2</v>
      </c>
      <c r="Q19" s="14">
        <v>220</v>
      </c>
      <c r="R19" s="2">
        <v>4457</v>
      </c>
      <c r="S19" s="301">
        <v>2.8584255250921918E-2</v>
      </c>
      <c r="T19" s="14">
        <v>261.81817599999999</v>
      </c>
      <c r="U19" s="301">
        <v>-2.0008795074758137E-2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1716</v>
      </c>
      <c r="B20" s="2">
        <v>1841</v>
      </c>
      <c r="C20" s="301">
        <v>3.1200216927092159E-2</v>
      </c>
      <c r="D20" s="2">
        <v>162.42424242424201</v>
      </c>
      <c r="E20" s="2">
        <v>2049</v>
      </c>
      <c r="F20" s="301">
        <v>3.2496471222622239E-2</v>
      </c>
      <c r="G20" s="14">
        <v>200.60606060606</v>
      </c>
      <c r="H20" s="2">
        <v>1798</v>
      </c>
      <c r="I20" s="301">
        <v>2.7418985894014487E-2</v>
      </c>
      <c r="J20" s="14">
        <v>230.909088</v>
      </c>
      <c r="K20" s="301">
        <v>-2.3356871265616513E-2</v>
      </c>
      <c r="L20" s="2">
        <v>4292</v>
      </c>
      <c r="M20" s="301">
        <v>2.9051428880856652E-2</v>
      </c>
      <c r="N20" s="2">
        <v>205.45454545454501</v>
      </c>
      <c r="O20" s="2">
        <v>4462</v>
      </c>
      <c r="P20" s="301">
        <v>2.9127798050748433E-2</v>
      </c>
      <c r="Q20" s="14">
        <v>235.75757575757501</v>
      </c>
      <c r="R20" s="2">
        <v>4629</v>
      </c>
      <c r="S20" s="301">
        <v>2.9687349687349686E-2</v>
      </c>
      <c r="T20" s="14">
        <v>270.90910000000002</v>
      </c>
      <c r="U20" s="301">
        <v>7.8518173345759557E-2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1717</v>
      </c>
      <c r="B21" s="2">
        <v>1815</v>
      </c>
      <c r="C21" s="301">
        <v>3.0759583771141918E-2</v>
      </c>
      <c r="D21" s="2">
        <v>131.51515151515099</v>
      </c>
      <c r="E21" s="2">
        <v>1534</v>
      </c>
      <c r="F21" s="301">
        <v>2.4328739314544906E-2</v>
      </c>
      <c r="G21" s="14">
        <v>131.51515151515099</v>
      </c>
      <c r="H21" s="2">
        <v>1914</v>
      </c>
      <c r="I21" s="301">
        <v>2.9187952725886389E-2</v>
      </c>
      <c r="J21" s="14">
        <v>144.24243200000001</v>
      </c>
      <c r="K21" s="301">
        <v>5.4545454545454543E-2</v>
      </c>
      <c r="L21" s="2">
        <v>4521</v>
      </c>
      <c r="M21" s="301">
        <v>3.0601470170166106E-2</v>
      </c>
      <c r="N21" s="2">
        <v>83.636363636363598</v>
      </c>
      <c r="O21" s="2">
        <v>4405</v>
      </c>
      <c r="P21" s="301">
        <v>2.8755703812986741E-2</v>
      </c>
      <c r="Q21" s="14">
        <v>106.06060606060601</v>
      </c>
      <c r="R21" s="2">
        <v>4211</v>
      </c>
      <c r="S21" s="301">
        <v>2.7006573673240341E-2</v>
      </c>
      <c r="T21" s="14">
        <v>58.787880000000001</v>
      </c>
      <c r="U21" s="301">
        <v>-6.8568900685689008E-2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1718</v>
      </c>
      <c r="B22" s="2">
        <v>1265</v>
      </c>
      <c r="C22" s="301">
        <v>2.1438497779886791E-2</v>
      </c>
      <c r="D22" s="2">
        <v>140.60606060606</v>
      </c>
      <c r="E22" s="2">
        <v>1730</v>
      </c>
      <c r="F22" s="301">
        <v>2.7437235341696668E-2</v>
      </c>
      <c r="G22" s="14">
        <v>131.51515151515099</v>
      </c>
      <c r="H22" s="2">
        <v>1640</v>
      </c>
      <c r="I22" s="301">
        <v>2.5009531071292414E-2</v>
      </c>
      <c r="J22" s="14">
        <v>157.57576</v>
      </c>
      <c r="K22" s="301">
        <v>0.29644268774703558</v>
      </c>
      <c r="L22" s="2">
        <v>4291</v>
      </c>
      <c r="M22" s="301">
        <v>2.9044660141602025E-2</v>
      </c>
      <c r="N22" s="2">
        <v>84.848484848484802</v>
      </c>
      <c r="O22" s="2">
        <v>4295</v>
      </c>
      <c r="P22" s="301">
        <v>2.8037627213797517E-2</v>
      </c>
      <c r="Q22" s="14">
        <v>74.545454545454504</v>
      </c>
      <c r="R22" s="2">
        <v>4111</v>
      </c>
      <c r="S22" s="301">
        <v>2.6365239698573031E-2</v>
      </c>
      <c r="T22" s="14">
        <v>49.696968099999999</v>
      </c>
      <c r="U22" s="301">
        <v>-4.1948263807970169E-2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1719</v>
      </c>
      <c r="B23" s="2">
        <v>1147</v>
      </c>
      <c r="C23" s="301">
        <v>1.9438701149035693E-2</v>
      </c>
      <c r="D23" s="2">
        <v>147.272727272727</v>
      </c>
      <c r="E23" s="2">
        <v>1276</v>
      </c>
      <c r="F23" s="301">
        <v>2.0236943523702283E-2</v>
      </c>
      <c r="G23" s="14">
        <v>150.90909090909</v>
      </c>
      <c r="H23" s="2">
        <v>1262</v>
      </c>
      <c r="I23" s="301">
        <v>1.9245139153640869E-2</v>
      </c>
      <c r="J23" s="14">
        <v>182.42424</v>
      </c>
      <c r="K23" s="301">
        <v>0.1002615518744551</v>
      </c>
      <c r="L23" s="2">
        <v>4191</v>
      </c>
      <c r="M23" s="301">
        <v>2.8367786216139383E-2</v>
      </c>
      <c r="N23" s="2">
        <v>195.15151515151501</v>
      </c>
      <c r="O23" s="2">
        <v>4272</v>
      </c>
      <c r="P23" s="301">
        <v>2.7887483924876132E-2</v>
      </c>
      <c r="Q23" s="14">
        <v>191.51515151515099</v>
      </c>
      <c r="R23" s="2">
        <v>4114</v>
      </c>
      <c r="S23" s="301">
        <v>2.6384479717813051E-2</v>
      </c>
      <c r="T23" s="14">
        <v>244.24243200000001</v>
      </c>
      <c r="U23" s="301">
        <v>-1.8372703412073491E-2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1720</v>
      </c>
      <c r="B24" s="2">
        <v>226</v>
      </c>
      <c r="C24" s="301">
        <v>3.8301189709521065E-3</v>
      </c>
      <c r="D24" s="2">
        <v>60.606060606060602</v>
      </c>
      <c r="E24" s="2">
        <v>351</v>
      </c>
      <c r="F24" s="301">
        <v>5.5667454363789197E-3</v>
      </c>
      <c r="G24" s="14">
        <v>75.757575757575694</v>
      </c>
      <c r="H24" s="2">
        <v>566</v>
      </c>
      <c r="I24" s="301">
        <v>8.6313381624094545E-3</v>
      </c>
      <c r="J24" s="14">
        <v>123.63636</v>
      </c>
      <c r="K24" s="301">
        <v>1.5044247787610618</v>
      </c>
      <c r="L24" s="2">
        <v>1235</v>
      </c>
      <c r="M24" s="301">
        <v>8.3593929794636458E-3</v>
      </c>
      <c r="N24" s="2">
        <v>154.54545454545399</v>
      </c>
      <c r="O24" s="2">
        <v>1673</v>
      </c>
      <c r="P24" s="301">
        <v>1.0921292276759777E-2</v>
      </c>
      <c r="Q24" s="14">
        <v>151.51515151515099</v>
      </c>
      <c r="R24" s="2">
        <v>1863</v>
      </c>
      <c r="S24" s="301">
        <v>1.1948051948051949E-2</v>
      </c>
      <c r="T24" s="14">
        <v>210.30302399999999</v>
      </c>
      <c r="U24" s="301">
        <v>0.50850202429149793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1721</v>
      </c>
      <c r="B25" s="2">
        <v>454</v>
      </c>
      <c r="C25" s="301">
        <v>7.6941328000542314E-3</v>
      </c>
      <c r="D25" s="2">
        <v>95.151515151515099</v>
      </c>
      <c r="E25" s="2">
        <v>644</v>
      </c>
      <c r="F25" s="301">
        <v>1.0213629803498644E-2</v>
      </c>
      <c r="G25" s="14">
        <v>116.969696969697</v>
      </c>
      <c r="H25" s="2">
        <v>674</v>
      </c>
      <c r="I25" s="301">
        <v>1.0278307281738468E-2</v>
      </c>
      <c r="J25" s="14">
        <v>123.030304</v>
      </c>
      <c r="K25" s="301">
        <v>0.48458149779735682</v>
      </c>
      <c r="L25" s="2">
        <v>1829</v>
      </c>
      <c r="M25" s="301">
        <v>1.2380024096711746E-2</v>
      </c>
      <c r="N25" s="2">
        <v>167.272727272727</v>
      </c>
      <c r="O25" s="2">
        <v>2115</v>
      </c>
      <c r="P25" s="301">
        <v>1.3806654611683759E-2</v>
      </c>
      <c r="Q25" s="14">
        <v>163.030303030303</v>
      </c>
      <c r="R25" s="2">
        <v>2326</v>
      </c>
      <c r="S25" s="301">
        <v>1.4917428250761583E-2</v>
      </c>
      <c r="T25" s="14">
        <v>184.24243200000001</v>
      </c>
      <c r="U25" s="301">
        <v>0.27173318753417169</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1722</v>
      </c>
      <c r="B26" s="2">
        <v>492</v>
      </c>
      <c r="C26" s="301">
        <v>8.3381351049045867E-3</v>
      </c>
      <c r="D26" s="2">
        <v>99.393939393939405</v>
      </c>
      <c r="E26" s="2">
        <v>294</v>
      </c>
      <c r="F26" s="301">
        <v>4.6627440407276417E-3</v>
      </c>
      <c r="G26" s="14">
        <v>65.454545454545396</v>
      </c>
      <c r="H26" s="2">
        <v>418</v>
      </c>
      <c r="I26" s="301">
        <v>6.3743804803659933E-3</v>
      </c>
      <c r="J26" s="14">
        <v>112.727272</v>
      </c>
      <c r="K26" s="301">
        <v>-0.15040650406504066</v>
      </c>
      <c r="L26" s="2">
        <v>1492</v>
      </c>
      <c r="M26" s="301">
        <v>1.0098958967902638E-2</v>
      </c>
      <c r="N26" s="2">
        <v>120</v>
      </c>
      <c r="O26" s="2">
        <v>1409</v>
      </c>
      <c r="P26" s="301">
        <v>9.1979084387056338E-3</v>
      </c>
      <c r="Q26" s="14">
        <v>132.12121212121201</v>
      </c>
      <c r="R26" s="2">
        <v>1504</v>
      </c>
      <c r="S26" s="301">
        <v>9.6456629789963121E-3</v>
      </c>
      <c r="T26" s="14">
        <v>146.66667200000001</v>
      </c>
      <c r="U26" s="301">
        <v>8.0428954423592495E-3</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1723</v>
      </c>
      <c r="B27" s="2">
        <v>353</v>
      </c>
      <c r="C27" s="301">
        <v>5.9824424634782906E-3</v>
      </c>
      <c r="D27" s="2">
        <v>93.939393939393895</v>
      </c>
      <c r="E27" s="2">
        <v>415</v>
      </c>
      <c r="F27" s="301">
        <v>6.5817645472856165E-3</v>
      </c>
      <c r="G27" s="14">
        <v>71.515151515151501</v>
      </c>
      <c r="H27" s="2">
        <v>318</v>
      </c>
      <c r="I27" s="301">
        <v>4.8494090735798703E-3</v>
      </c>
      <c r="J27" s="14">
        <v>66.666664100000006</v>
      </c>
      <c r="K27" s="301">
        <v>-9.9150141643059492E-2</v>
      </c>
      <c r="L27" s="2">
        <v>1162</v>
      </c>
      <c r="M27" s="301">
        <v>7.8652750138759157E-3</v>
      </c>
      <c r="N27" s="2">
        <v>133.333333333333</v>
      </c>
      <c r="O27" s="2">
        <v>1670</v>
      </c>
      <c r="P27" s="301">
        <v>1.0901708369509162E-2</v>
      </c>
      <c r="Q27" s="14">
        <v>140.60606060606</v>
      </c>
      <c r="R27" s="2">
        <v>1867</v>
      </c>
      <c r="S27" s="301">
        <v>1.197370530703864E-2</v>
      </c>
      <c r="T27" s="14">
        <v>140</v>
      </c>
      <c r="U27" s="301">
        <v>0.60671256454388989</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1724</v>
      </c>
      <c r="B28" s="2">
        <v>413</v>
      </c>
      <c r="C28" s="301">
        <v>6.9992882079788496E-3</v>
      </c>
      <c r="D28" s="2">
        <v>78.787878787878796</v>
      </c>
      <c r="E28" s="2">
        <v>557</v>
      </c>
      <c r="F28" s="301">
        <v>8.8338381996098513E-3</v>
      </c>
      <c r="G28" s="14">
        <v>90.303030303030297</v>
      </c>
      <c r="H28" s="2">
        <v>766</v>
      </c>
      <c r="I28" s="301">
        <v>1.16812809759817E-2</v>
      </c>
      <c r="J28" s="14">
        <v>122.42424</v>
      </c>
      <c r="K28" s="301">
        <v>0.85472154963680391</v>
      </c>
      <c r="L28" s="2">
        <v>1863</v>
      </c>
      <c r="M28" s="301">
        <v>1.2610161231369045E-2</v>
      </c>
      <c r="N28" s="2">
        <v>142.42424242424201</v>
      </c>
      <c r="O28" s="2">
        <v>2346</v>
      </c>
      <c r="P28" s="301">
        <v>1.5314615469981134E-2</v>
      </c>
      <c r="Q28" s="14">
        <v>149.69696969696901</v>
      </c>
      <c r="R28" s="2">
        <v>3078</v>
      </c>
      <c r="S28" s="301">
        <v>1.9740259740259742E-2</v>
      </c>
      <c r="T28" s="14">
        <v>186.060608</v>
      </c>
      <c r="U28" s="301">
        <v>0.65217391304347827</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1725</v>
      </c>
      <c r="B29" s="2">
        <v>378</v>
      </c>
      <c r="C29" s="301">
        <v>6.4061281903535234E-3</v>
      </c>
      <c r="D29" s="2">
        <v>85.454545454545396</v>
      </c>
      <c r="E29" s="2">
        <v>397</v>
      </c>
      <c r="F29" s="301">
        <v>6.2962904223431079E-3</v>
      </c>
      <c r="G29" s="2">
        <v>75.757575757575694</v>
      </c>
      <c r="H29" s="2">
        <v>431</v>
      </c>
      <c r="I29" s="301">
        <v>6.5726267632481893E-3</v>
      </c>
      <c r="J29" s="14">
        <v>98.181816100000006</v>
      </c>
      <c r="K29" s="301">
        <v>0.1402116402116402</v>
      </c>
      <c r="L29" s="2">
        <v>1559</v>
      </c>
      <c r="M29" s="301">
        <v>1.055246449796261E-2</v>
      </c>
      <c r="N29" s="2">
        <v>119.39393939393899</v>
      </c>
      <c r="O29" s="2">
        <v>1659</v>
      </c>
      <c r="P29" s="301">
        <v>1.0829900709590239E-2</v>
      </c>
      <c r="Q29" s="2">
        <v>121.212121212121</v>
      </c>
      <c r="R29" s="2">
        <v>1625</v>
      </c>
      <c r="S29" s="301">
        <v>1.0421677088343755E-2</v>
      </c>
      <c r="T29" s="14">
        <v>141.21212800000001</v>
      </c>
      <c r="U29" s="301">
        <v>4.2334830019243104E-2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1726</v>
      </c>
      <c r="B30" s="2">
        <v>262</v>
      </c>
      <c r="C30" s="301">
        <v>4.4402264176524424E-3</v>
      </c>
      <c r="D30" s="2">
        <v>71.515151515151501</v>
      </c>
      <c r="E30" s="2">
        <v>222</v>
      </c>
      <c r="F30" s="301">
        <v>3.520847540957607E-3</v>
      </c>
      <c r="G30" s="14">
        <v>60.606060606060602</v>
      </c>
      <c r="H30" s="2">
        <v>368</v>
      </c>
      <c r="I30" s="301">
        <v>5.6118947769729314E-3</v>
      </c>
      <c r="J30" s="14">
        <v>84.848489999999998</v>
      </c>
      <c r="K30" s="301">
        <v>0.40458015267175573</v>
      </c>
      <c r="L30" s="2">
        <v>803</v>
      </c>
      <c r="M30" s="301">
        <v>5.4352976214650257E-3</v>
      </c>
      <c r="N30" s="2">
        <v>99.393939393939405</v>
      </c>
      <c r="O30" s="2">
        <v>1245</v>
      </c>
      <c r="P30" s="301">
        <v>8.1273215090053325E-3</v>
      </c>
      <c r="Q30" s="14">
        <v>118.181818181818</v>
      </c>
      <c r="R30" s="2">
        <v>1187</v>
      </c>
      <c r="S30" s="301">
        <v>7.6126342793009462E-3</v>
      </c>
      <c r="T30" s="14">
        <v>124.242424</v>
      </c>
      <c r="U30" s="301">
        <v>0.47820672478206727</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1727</v>
      </c>
      <c r="B31" s="2">
        <v>287</v>
      </c>
      <c r="C31" s="301">
        <v>4.8639121445276752E-3</v>
      </c>
      <c r="D31" s="2">
        <v>66.060606060606005</v>
      </c>
      <c r="E31" s="2">
        <v>261</v>
      </c>
      <c r="F31" s="301">
        <v>4.139374811666376E-3</v>
      </c>
      <c r="G31" s="14">
        <v>62.424242424242401</v>
      </c>
      <c r="H31" s="2">
        <v>293</v>
      </c>
      <c r="I31" s="301">
        <v>4.4681662218833398E-3</v>
      </c>
      <c r="J31" s="14">
        <v>107.878784</v>
      </c>
      <c r="K31" s="301">
        <v>2.0905923344947737E-2</v>
      </c>
      <c r="L31" s="2">
        <v>815</v>
      </c>
      <c r="M31" s="301">
        <v>5.5165224925205428E-3</v>
      </c>
      <c r="N31" s="2">
        <v>110.90909090909</v>
      </c>
      <c r="O31" s="2">
        <v>679</v>
      </c>
      <c r="P31" s="301">
        <v>4.4324910077225875E-3</v>
      </c>
      <c r="Q31" s="14">
        <v>90.909090909090907</v>
      </c>
      <c r="R31" s="2">
        <v>1071</v>
      </c>
      <c r="S31" s="301">
        <v>6.8686868686868687E-3</v>
      </c>
      <c r="T31" s="14">
        <v>139.393936</v>
      </c>
      <c r="U31" s="301">
        <v>0.31411042944785278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28535</v>
      </c>
      <c r="C32" s="301">
        <v>0.48359488865539096</v>
      </c>
      <c r="D32" s="2">
        <v>429.09090909090901</v>
      </c>
      <c r="E32" s="2">
        <v>32050</v>
      </c>
      <c r="F32" s="301">
        <v>0.50830253913374468</v>
      </c>
      <c r="G32" s="14">
        <v>370.30303030303003</v>
      </c>
      <c r="H32" s="2">
        <v>33433</v>
      </c>
      <c r="I32" s="301">
        <v>0.50984369043080446</v>
      </c>
      <c r="J32" s="14">
        <v>349.09089999999998</v>
      </c>
      <c r="K32" s="301">
        <v>0.17164885228666549</v>
      </c>
      <c r="L32" s="2">
        <v>76506</v>
      </c>
      <c r="M32" s="301">
        <v>0.51784916541444992</v>
      </c>
      <c r="N32" s="2">
        <v>96.363636363636402</v>
      </c>
      <c r="O32" s="2">
        <v>79324</v>
      </c>
      <c r="P32" s="301">
        <v>0.51782461958260162</v>
      </c>
      <c r="Q32" s="14">
        <v>123.030303030303</v>
      </c>
      <c r="R32" s="2">
        <v>80618</v>
      </c>
      <c r="S32" s="301">
        <v>0.51703062369729036</v>
      </c>
      <c r="T32" s="14">
        <v>86.666664100000006</v>
      </c>
      <c r="U32" s="301">
        <v>5.3747418503123937E-2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2769</v>
      </c>
      <c r="C33" s="301">
        <v>4.6927431108700811E-2</v>
      </c>
      <c r="D33" s="2">
        <v>177.575757575757</v>
      </c>
      <c r="E33" s="2">
        <v>3277</v>
      </c>
      <c r="F33" s="301">
        <v>5.1972150413144499E-2</v>
      </c>
      <c r="G33" s="14">
        <v>200.60606060606</v>
      </c>
      <c r="H33" s="2">
        <v>3037</v>
      </c>
      <c r="I33" s="301">
        <v>4.6313381624094548E-2</v>
      </c>
      <c r="J33" s="14">
        <v>198.78787199999999</v>
      </c>
      <c r="K33" s="301">
        <v>9.6785843264716509E-2</v>
      </c>
      <c r="L33" s="2">
        <v>5880</v>
      </c>
      <c r="M33" s="301">
        <v>3.9800186817203424E-2</v>
      </c>
      <c r="N33" s="2">
        <v>75.757575757575694</v>
      </c>
      <c r="O33" s="2">
        <v>5879</v>
      </c>
      <c r="P33" s="301">
        <v>3.8377930242122375E-2</v>
      </c>
      <c r="Q33" s="14">
        <v>70.303030303030297</v>
      </c>
      <c r="R33" s="2">
        <v>5537</v>
      </c>
      <c r="S33" s="301">
        <v>3.5510662177328844E-2</v>
      </c>
      <c r="T33" s="14">
        <v>70.909090000000006</v>
      </c>
      <c r="U33" s="301">
        <v>-5.8333333333333334E-2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1708</v>
      </c>
      <c r="B34" s="2">
        <v>2540</v>
      </c>
      <c r="C34" s="301">
        <v>4.3046469850523676E-2</v>
      </c>
      <c r="D34" s="2">
        <v>201.81818181818099</v>
      </c>
      <c r="E34" s="2">
        <v>3169</v>
      </c>
      <c r="F34" s="301">
        <v>5.0259305663489448E-2</v>
      </c>
      <c r="G34" s="2">
        <v>245.45454545454501</v>
      </c>
      <c r="H34" s="2">
        <v>3568</v>
      </c>
      <c r="I34" s="301">
        <v>5.4410979794128858E-2</v>
      </c>
      <c r="J34" s="14">
        <v>270.90910000000002</v>
      </c>
      <c r="K34" s="301">
        <v>0.40472440944881888</v>
      </c>
      <c r="L34" s="2">
        <v>5264</v>
      </c>
      <c r="M34" s="301">
        <v>3.5630643436353547E-2</v>
      </c>
      <c r="N34" s="2">
        <v>236.363636363636</v>
      </c>
      <c r="O34" s="2">
        <v>6170</v>
      </c>
      <c r="P34" s="301">
        <v>4.0277569245432056E-2</v>
      </c>
      <c r="Q34" s="2">
        <v>276.969696969697</v>
      </c>
      <c r="R34" s="2">
        <v>6210</v>
      </c>
      <c r="S34" s="301">
        <v>3.9826839826839829E-2</v>
      </c>
      <c r="T34" s="14">
        <v>310.30304000000001</v>
      </c>
      <c r="U34" s="301">
        <v>0.17971124620060791</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1709</v>
      </c>
      <c r="B35" s="2">
        <v>2733</v>
      </c>
      <c r="C35" s="301">
        <v>4.6317323662000476E-2</v>
      </c>
      <c r="D35" s="2">
        <v>170.30303030303</v>
      </c>
      <c r="E35" s="2">
        <v>2820</v>
      </c>
      <c r="F35" s="301">
        <v>4.4724279574326363E-2</v>
      </c>
      <c r="G35" s="14">
        <v>223.636363636363</v>
      </c>
      <c r="H35" s="2">
        <v>2927</v>
      </c>
      <c r="I35" s="301">
        <v>4.4635913076629813E-2</v>
      </c>
      <c r="J35" s="14">
        <v>224.24243200000001</v>
      </c>
      <c r="K35" s="301">
        <v>7.0984266373948043E-2</v>
      </c>
      <c r="L35" s="2">
        <v>5874</v>
      </c>
      <c r="M35" s="301">
        <v>3.9759574381675669E-2</v>
      </c>
      <c r="N35" s="2">
        <v>239.39393939393901</v>
      </c>
      <c r="O35" s="2">
        <v>5674</v>
      </c>
      <c r="P35" s="301">
        <v>3.7039696579996999E-2</v>
      </c>
      <c r="Q35" s="14">
        <v>258.18181818181802</v>
      </c>
      <c r="R35" s="2">
        <v>5904</v>
      </c>
      <c r="S35" s="301">
        <v>3.7864357864357864E-2</v>
      </c>
      <c r="T35" s="14">
        <v>312.72726399999999</v>
      </c>
      <c r="U35" s="301">
        <v>5.1072522982635342E-3</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1710</v>
      </c>
      <c r="B36" s="2">
        <v>1745</v>
      </c>
      <c r="C36" s="301">
        <v>2.9573263735891267E-2</v>
      </c>
      <c r="D36" s="2">
        <v>160</v>
      </c>
      <c r="E36" s="2">
        <v>1610</v>
      </c>
      <c r="F36" s="301">
        <v>2.5534074508746611E-2</v>
      </c>
      <c r="G36" s="14">
        <v>141.81818181818099</v>
      </c>
      <c r="H36" s="2">
        <v>1287</v>
      </c>
      <c r="I36" s="301">
        <v>1.9626382005337398E-2</v>
      </c>
      <c r="J36" s="14">
        <v>127.878784</v>
      </c>
      <c r="K36" s="301">
        <v>-0.26246418338108884</v>
      </c>
      <c r="L36" s="2">
        <v>3585</v>
      </c>
      <c r="M36" s="301">
        <v>2.4265930227835762E-2</v>
      </c>
      <c r="N36" s="2">
        <v>77.575757575757507</v>
      </c>
      <c r="O36" s="2">
        <v>3404</v>
      </c>
      <c r="P36" s="301">
        <v>2.2221206760364782E-2</v>
      </c>
      <c r="Q36" s="14">
        <v>58.181818181818201</v>
      </c>
      <c r="R36" s="2">
        <v>3413</v>
      </c>
      <c r="S36" s="301">
        <v>2.1888728555395223E-2</v>
      </c>
      <c r="T36" s="14">
        <v>39.393940000000001</v>
      </c>
      <c r="U36" s="301">
        <v>-4.7977684797768483E-2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1711</v>
      </c>
      <c r="B37" s="2">
        <v>856</v>
      </c>
      <c r="C37" s="301">
        <v>1.450699928820798E-2</v>
      </c>
      <c r="D37" s="2">
        <v>103.636363636363</v>
      </c>
      <c r="E37" s="2">
        <v>1021</v>
      </c>
      <c r="F37" s="301">
        <v>1.6192726753683408E-2</v>
      </c>
      <c r="G37" s="14">
        <v>133.333333333333</v>
      </c>
      <c r="H37" s="2">
        <v>827</v>
      </c>
      <c r="I37" s="301">
        <v>1.2611513534121235E-2</v>
      </c>
      <c r="J37" s="14">
        <v>90.303030000000007</v>
      </c>
      <c r="K37" s="301">
        <v>-3.3878504672897193E-2</v>
      </c>
      <c r="L37" s="2">
        <v>2211</v>
      </c>
      <c r="M37" s="301">
        <v>1.4965682491979044E-2</v>
      </c>
      <c r="N37" s="2">
        <v>83.636363636363598</v>
      </c>
      <c r="O37" s="2">
        <v>2145</v>
      </c>
      <c r="P37" s="301">
        <v>1.4002493684189911E-2</v>
      </c>
      <c r="Q37" s="14">
        <v>89.090909090909093</v>
      </c>
      <c r="R37" s="2">
        <v>1966</v>
      </c>
      <c r="S37" s="301">
        <v>1.2608625941959275E-2</v>
      </c>
      <c r="T37" s="14">
        <v>66.666664100000006</v>
      </c>
      <c r="U37" s="301">
        <v>-0.11080958842152872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493</v>
      </c>
      <c r="C38" s="301">
        <v>8.3550825339795947E-3</v>
      </c>
      <c r="D38" s="2">
        <v>105.454545454545</v>
      </c>
      <c r="E38" s="2">
        <v>561</v>
      </c>
      <c r="F38" s="301">
        <v>8.8972768940415205E-3</v>
      </c>
      <c r="G38" s="14">
        <v>114.54545454545401</v>
      </c>
      <c r="H38" s="2">
        <v>216</v>
      </c>
      <c r="I38" s="301">
        <v>3.2939382386580254E-3</v>
      </c>
      <c r="J38" s="14">
        <v>83.030304000000001</v>
      </c>
      <c r="K38" s="301">
        <v>-0.56186612576064909</v>
      </c>
      <c r="L38" s="2">
        <v>1122</v>
      </c>
      <c r="M38" s="301">
        <v>7.5945254436908579E-3</v>
      </c>
      <c r="N38" s="2">
        <v>129.69696969696901</v>
      </c>
      <c r="O38" s="2">
        <v>1100</v>
      </c>
      <c r="P38" s="301">
        <v>7.1807659918922623E-3</v>
      </c>
      <c r="Q38" s="14">
        <v>155.15151515151501</v>
      </c>
      <c r="R38" s="2">
        <v>968</v>
      </c>
      <c r="S38" s="301">
        <v>6.2081128747795413E-3</v>
      </c>
      <c r="T38" s="14">
        <v>154.545456</v>
      </c>
      <c r="U38" s="301">
        <v>-0.13725490196078433</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328</v>
      </c>
      <c r="C39" s="301">
        <v>5.558756736603057E-3</v>
      </c>
      <c r="D39" s="2">
        <v>80</v>
      </c>
      <c r="E39" s="2">
        <v>689</v>
      </c>
      <c r="F39" s="301">
        <v>1.0927315115854916E-2</v>
      </c>
      <c r="G39" s="14">
        <v>110.30303030303</v>
      </c>
      <c r="H39" s="2">
        <v>529</v>
      </c>
      <c r="I39" s="301">
        <v>8.0670987418985894E-3</v>
      </c>
      <c r="J39" s="14">
        <v>223.636368</v>
      </c>
      <c r="K39" s="301">
        <v>0.61280487804878048</v>
      </c>
      <c r="L39" s="2">
        <v>944</v>
      </c>
      <c r="M39" s="301">
        <v>6.3896898563673534E-3</v>
      </c>
      <c r="N39" s="2">
        <v>130.90909090909</v>
      </c>
      <c r="O39" s="2">
        <v>1465</v>
      </c>
      <c r="P39" s="301">
        <v>9.5634747073837859E-3</v>
      </c>
      <c r="Q39" s="14">
        <v>175.75757575757501</v>
      </c>
      <c r="R39" s="2">
        <v>1265</v>
      </c>
      <c r="S39" s="301">
        <v>8.1128747795414461E-3</v>
      </c>
      <c r="T39" s="14">
        <v>242.42424</v>
      </c>
      <c r="U39" s="301">
        <v>0.34004237288135591</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1712</v>
      </c>
      <c r="B40" s="2">
        <v>1298</v>
      </c>
      <c r="C40" s="301">
        <v>2.1997762939362099E-2</v>
      </c>
      <c r="D40" s="2">
        <v>162.42424242424201</v>
      </c>
      <c r="E40" s="2">
        <v>1126</v>
      </c>
      <c r="F40" s="301">
        <v>1.7857992482514708E-2</v>
      </c>
      <c r="G40" s="14">
        <v>120</v>
      </c>
      <c r="H40" s="2">
        <v>1814</v>
      </c>
      <c r="I40" s="301">
        <v>2.7662981319100267E-2</v>
      </c>
      <c r="J40" s="14">
        <v>226.66667200000001</v>
      </c>
      <c r="K40" s="301">
        <v>0.39753466872110937</v>
      </c>
      <c r="L40" s="2">
        <v>3070</v>
      </c>
      <c r="M40" s="301">
        <v>2.0780029511703151E-2</v>
      </c>
      <c r="N40" s="2">
        <v>170.30303030303</v>
      </c>
      <c r="O40" s="2">
        <v>3062</v>
      </c>
      <c r="P40" s="301">
        <v>1.9988641333794643E-2</v>
      </c>
      <c r="Q40" s="14">
        <v>189.69696969696901</v>
      </c>
      <c r="R40" s="2">
        <v>3549</v>
      </c>
      <c r="S40" s="301">
        <v>2.2760942760942759E-2</v>
      </c>
      <c r="T40" s="14">
        <v>213.33332799999999</v>
      </c>
      <c r="U40" s="301">
        <v>0.15602605863192182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1713</v>
      </c>
      <c r="B41" s="2">
        <v>1850</v>
      </c>
      <c r="C41" s="301">
        <v>3.1352743788767241E-2</v>
      </c>
      <c r="D41" s="2">
        <v>170.30303030303</v>
      </c>
      <c r="E41" s="2">
        <v>2539</v>
      </c>
      <c r="F41" s="301">
        <v>4.0267711290501641E-2</v>
      </c>
      <c r="G41" s="14">
        <v>169.09090909090901</v>
      </c>
      <c r="H41" s="2">
        <v>2298</v>
      </c>
      <c r="I41" s="301">
        <v>3.5043842927945101E-2</v>
      </c>
      <c r="J41" s="14">
        <v>243.636368</v>
      </c>
      <c r="K41" s="301">
        <v>0.24216216216216216</v>
      </c>
      <c r="L41" s="2">
        <v>5529</v>
      </c>
      <c r="M41" s="301">
        <v>3.7424359338829552E-2</v>
      </c>
      <c r="N41" s="2">
        <v>89.090909090909093</v>
      </c>
      <c r="O41" s="2">
        <v>5592</v>
      </c>
      <c r="P41" s="301">
        <v>3.6504403115146848E-2</v>
      </c>
      <c r="Q41" s="14">
        <v>78.181818181818201</v>
      </c>
      <c r="R41" s="2">
        <v>5966</v>
      </c>
      <c r="S41" s="301">
        <v>3.8261984928651592E-2</v>
      </c>
      <c r="T41" s="14">
        <v>149.69697600000001</v>
      </c>
      <c r="U41" s="301">
        <v>7.903780068728522E-2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1714</v>
      </c>
      <c r="B42" s="2">
        <v>2352</v>
      </c>
      <c r="C42" s="301">
        <v>3.9860353184421923E-2</v>
      </c>
      <c r="D42" s="2">
        <v>173.939393939393</v>
      </c>
      <c r="E42" s="2">
        <v>1939</v>
      </c>
      <c r="F42" s="301">
        <v>3.0751907125751352E-2</v>
      </c>
      <c r="G42" s="14">
        <v>198.18181818181799</v>
      </c>
      <c r="H42" s="2">
        <v>2592</v>
      </c>
      <c r="I42" s="301">
        <v>3.9527258863896304E-2</v>
      </c>
      <c r="J42" s="14">
        <v>180.606064</v>
      </c>
      <c r="K42" s="301">
        <v>0.10204081632653061</v>
      </c>
      <c r="L42" s="2">
        <v>5480</v>
      </c>
      <c r="M42" s="301">
        <v>3.7092691115352856E-2</v>
      </c>
      <c r="N42" s="2">
        <v>96.969696969696898</v>
      </c>
      <c r="O42" s="2">
        <v>5632</v>
      </c>
      <c r="P42" s="301">
        <v>3.6765521878488382E-2</v>
      </c>
      <c r="Q42" s="14">
        <v>126.666666666666</v>
      </c>
      <c r="R42" s="2">
        <v>5652</v>
      </c>
      <c r="S42" s="301">
        <v>3.6248196248196252E-2</v>
      </c>
      <c r="T42" s="14">
        <v>143.03030000000001</v>
      </c>
      <c r="U42" s="301">
        <v>3.1386861313868614E-2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1715</v>
      </c>
      <c r="B43" s="2">
        <v>1876</v>
      </c>
      <c r="C43" s="301">
        <v>3.1793376944717483E-2</v>
      </c>
      <c r="D43" s="2">
        <v>172.72727272727201</v>
      </c>
      <c r="E43" s="2">
        <v>2609</v>
      </c>
      <c r="F43" s="301">
        <v>4.1377888443055844E-2</v>
      </c>
      <c r="G43" s="14">
        <v>241.21212121212099</v>
      </c>
      <c r="H43" s="2">
        <v>2195</v>
      </c>
      <c r="I43" s="301">
        <v>3.3473122378955396E-2</v>
      </c>
      <c r="J43" s="14">
        <v>197.57576</v>
      </c>
      <c r="K43" s="301">
        <v>0.17004264392324095</v>
      </c>
      <c r="L43" s="2">
        <v>4961</v>
      </c>
      <c r="M43" s="301">
        <v>3.3579715442201737E-2</v>
      </c>
      <c r="N43" s="2">
        <v>258.78787878787801</v>
      </c>
      <c r="O43" s="2">
        <v>5580</v>
      </c>
      <c r="P43" s="301">
        <v>3.6426067486144388E-2</v>
      </c>
      <c r="Q43" s="14">
        <v>250.90909090909</v>
      </c>
      <c r="R43" s="2">
        <v>4992</v>
      </c>
      <c r="S43" s="301">
        <v>3.2015392015392018E-2</v>
      </c>
      <c r="T43" s="14">
        <v>289.09089999999998</v>
      </c>
      <c r="U43" s="301">
        <v>6.2487401733521469E-3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1716</v>
      </c>
      <c r="B44" s="2">
        <v>1725</v>
      </c>
      <c r="C44" s="301">
        <v>2.923431515439108E-2</v>
      </c>
      <c r="D44" s="2">
        <v>178.18181818181799</v>
      </c>
      <c r="E44" s="2">
        <v>1750</v>
      </c>
      <c r="F44" s="301">
        <v>2.7754428813855012E-2</v>
      </c>
      <c r="G44" s="14">
        <v>152.72727272727201</v>
      </c>
      <c r="H44" s="2">
        <v>2432</v>
      </c>
      <c r="I44" s="301">
        <v>3.7087304613038503E-2</v>
      </c>
      <c r="J44" s="14">
        <v>260.60604899999998</v>
      </c>
      <c r="K44" s="301">
        <v>0.40985507246376812</v>
      </c>
      <c r="L44" s="2">
        <v>5569</v>
      </c>
      <c r="M44" s="301">
        <v>3.7695108909014605E-2</v>
      </c>
      <c r="N44" s="2">
        <v>255.15151515151501</v>
      </c>
      <c r="O44" s="2">
        <v>4904</v>
      </c>
      <c r="P44" s="301">
        <v>3.2013160385672416E-2</v>
      </c>
      <c r="Q44" s="14">
        <v>215.75757575757501</v>
      </c>
      <c r="R44" s="2">
        <v>5467</v>
      </c>
      <c r="S44" s="301">
        <v>3.5061728395061727E-2</v>
      </c>
      <c r="T44" s="14">
        <v>324.84848</v>
      </c>
      <c r="U44" s="301">
        <v>-1.8315676063925302E-2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1717</v>
      </c>
      <c r="B45" s="2">
        <v>1669</v>
      </c>
      <c r="C45" s="301">
        <v>2.8285259126190558E-2</v>
      </c>
      <c r="D45" s="2">
        <v>129.09090909090901</v>
      </c>
      <c r="E45" s="2">
        <v>1637</v>
      </c>
      <c r="F45" s="301">
        <v>2.5962285696160374E-2</v>
      </c>
      <c r="G45" s="2">
        <v>149.69696969696901</v>
      </c>
      <c r="H45" s="2">
        <v>2174</v>
      </c>
      <c r="I45" s="301">
        <v>3.3152878383530308E-2</v>
      </c>
      <c r="J45" s="14">
        <v>178.18182400000001</v>
      </c>
      <c r="K45" s="301">
        <v>0.30257639304973039</v>
      </c>
      <c r="L45" s="2">
        <v>5421</v>
      </c>
      <c r="M45" s="301">
        <v>3.6693335499329897E-2</v>
      </c>
      <c r="N45" s="2">
        <v>86.060606060606005</v>
      </c>
      <c r="O45" s="2">
        <v>4939</v>
      </c>
      <c r="P45" s="301">
        <v>3.2241639303596255E-2</v>
      </c>
      <c r="Q45" s="2">
        <v>67.272727272727195</v>
      </c>
      <c r="R45" s="2">
        <v>4766</v>
      </c>
      <c r="S45" s="301">
        <v>3.0565977232643898E-2</v>
      </c>
      <c r="T45" s="14">
        <v>127.272728</v>
      </c>
      <c r="U45" s="301">
        <v>-0.12082641579044456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1718</v>
      </c>
      <c r="B46" s="2">
        <v>1215</v>
      </c>
      <c r="C46" s="301">
        <v>2.0591126326136324E-2</v>
      </c>
      <c r="D46" s="2">
        <v>149.09090909090901</v>
      </c>
      <c r="E46" s="2">
        <v>1924</v>
      </c>
      <c r="F46" s="301">
        <v>3.0514012021632595E-2</v>
      </c>
      <c r="G46" s="14">
        <v>135.75757575757501</v>
      </c>
      <c r="H46" s="2">
        <v>1433</v>
      </c>
      <c r="I46" s="301">
        <v>2.1852840259245138E-2</v>
      </c>
      <c r="J46" s="14">
        <v>163.03030000000001</v>
      </c>
      <c r="K46" s="301">
        <v>0.1794238683127572</v>
      </c>
      <c r="L46" s="2">
        <v>4992</v>
      </c>
      <c r="M46" s="301">
        <v>3.3789546359095153E-2</v>
      </c>
      <c r="N46" s="2">
        <v>89.696969696969703</v>
      </c>
      <c r="O46" s="2">
        <v>5007</v>
      </c>
      <c r="P46" s="301">
        <v>3.2685541201276869E-2</v>
      </c>
      <c r="Q46" s="14">
        <v>89.696969696969703</v>
      </c>
      <c r="R46" s="2">
        <v>4520</v>
      </c>
      <c r="S46" s="301">
        <v>2.8988295654962321E-2</v>
      </c>
      <c r="T46" s="14">
        <v>114.545456</v>
      </c>
      <c r="U46" s="301">
        <v>-9.4551282051282048E-2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1719</v>
      </c>
      <c r="B47" s="2">
        <v>1162</v>
      </c>
      <c r="C47" s="301">
        <v>1.9692912585160829E-2</v>
      </c>
      <c r="D47" s="2">
        <v>147.272727272727</v>
      </c>
      <c r="E47" s="2">
        <v>1055</v>
      </c>
      <c r="F47" s="301">
        <v>1.6731955656352594E-2</v>
      </c>
      <c r="G47" s="2">
        <v>112.72727272727199</v>
      </c>
      <c r="H47" s="2">
        <v>1562</v>
      </c>
      <c r="I47" s="301">
        <v>2.3820053373999239E-2</v>
      </c>
      <c r="J47" s="14">
        <v>179.393936</v>
      </c>
      <c r="K47" s="301">
        <v>0.34423407917383819</v>
      </c>
      <c r="L47" s="2">
        <v>4480</v>
      </c>
      <c r="M47" s="301">
        <v>3.0323951860726422E-2</v>
      </c>
      <c r="N47" s="2">
        <v>161.81818181818099</v>
      </c>
      <c r="O47" s="2">
        <v>4464</v>
      </c>
      <c r="P47" s="301">
        <v>2.914085398891551E-2</v>
      </c>
      <c r="Q47" s="2">
        <v>174.54545454545399</v>
      </c>
      <c r="R47" s="2">
        <v>4767</v>
      </c>
      <c r="S47" s="301">
        <v>3.0572390572390574E-2</v>
      </c>
      <c r="T47" s="14">
        <v>237.57576</v>
      </c>
      <c r="U47" s="301">
        <v>6.4062499999999994E-2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1720</v>
      </c>
      <c r="B48" s="2">
        <v>401</v>
      </c>
      <c r="C48" s="301">
        <v>6.7959190590787377E-3</v>
      </c>
      <c r="D48" s="2">
        <v>84.242424242424207</v>
      </c>
      <c r="E48" s="2">
        <v>624</v>
      </c>
      <c r="F48" s="301">
        <v>9.8964363313403005E-3</v>
      </c>
      <c r="G48" s="14">
        <v>96.969696969696898</v>
      </c>
      <c r="H48" s="2">
        <v>653</v>
      </c>
      <c r="I48" s="301">
        <v>9.9580632863133824E-3</v>
      </c>
      <c r="J48" s="14">
        <v>115.757576</v>
      </c>
      <c r="K48" s="301">
        <v>0.62842892768079806</v>
      </c>
      <c r="L48" s="2">
        <v>1601</v>
      </c>
      <c r="M48" s="301">
        <v>1.083675154665692E-2</v>
      </c>
      <c r="N48" s="2">
        <v>129.69696969696901</v>
      </c>
      <c r="O48" s="2">
        <v>1762</v>
      </c>
      <c r="P48" s="301">
        <v>1.1502281525194696E-2</v>
      </c>
      <c r="Q48" s="14">
        <v>163.636363636363</v>
      </c>
      <c r="R48" s="2">
        <v>1699</v>
      </c>
      <c r="S48" s="301">
        <v>1.0896264229597562E-2</v>
      </c>
      <c r="T48" s="14">
        <v>197.57576</v>
      </c>
      <c r="U48" s="301">
        <v>6.1211742660836975E-2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1721</v>
      </c>
      <c r="B49" s="2">
        <v>590</v>
      </c>
      <c r="C49" s="301">
        <v>9.9989831542555002E-3</v>
      </c>
      <c r="D49" s="2">
        <v>84.242424242424207</v>
      </c>
      <c r="E49" s="2">
        <v>660</v>
      </c>
      <c r="F49" s="301">
        <v>1.0467384581225318E-2</v>
      </c>
      <c r="G49" s="14">
        <v>104.24242424242399</v>
      </c>
      <c r="H49" s="2">
        <v>671</v>
      </c>
      <c r="I49" s="301">
        <v>1.0232558139534883E-2</v>
      </c>
      <c r="J49" s="14">
        <v>143.03030000000001</v>
      </c>
      <c r="K49" s="301">
        <v>0.13728813559322034</v>
      </c>
      <c r="L49" s="2">
        <v>1728</v>
      </c>
      <c r="M49" s="301">
        <v>1.1696381431994477E-2</v>
      </c>
      <c r="N49" s="2">
        <v>130.90909090909</v>
      </c>
      <c r="O49" s="2">
        <v>2448</v>
      </c>
      <c r="P49" s="301">
        <v>1.5980468316502051E-2</v>
      </c>
      <c r="Q49" s="14">
        <v>158.18181818181799</v>
      </c>
      <c r="R49" s="2">
        <v>2451</v>
      </c>
      <c r="S49" s="301">
        <v>1.5719095719095719E-2</v>
      </c>
      <c r="T49" s="14">
        <v>191.515152</v>
      </c>
      <c r="U49" s="301">
        <v>0.41840277777777779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1722</v>
      </c>
      <c r="B50" s="2">
        <v>516</v>
      </c>
      <c r="C50" s="301">
        <v>8.744873402704809E-3</v>
      </c>
      <c r="D50" s="2">
        <v>113.939393939393</v>
      </c>
      <c r="E50" s="2">
        <v>504</v>
      </c>
      <c r="F50" s="301">
        <v>7.9932754983902433E-3</v>
      </c>
      <c r="G50" s="14">
        <v>79.393939393939405</v>
      </c>
      <c r="H50" s="2">
        <v>357</v>
      </c>
      <c r="I50" s="301">
        <v>5.4441479222264583E-3</v>
      </c>
      <c r="J50" s="14">
        <v>81.212119999999999</v>
      </c>
      <c r="K50" s="301">
        <v>-0.30813953488372092</v>
      </c>
      <c r="L50" s="2">
        <v>1663</v>
      </c>
      <c r="M50" s="301">
        <v>1.1256413380443758E-2</v>
      </c>
      <c r="N50" s="2">
        <v>152.72727272727201</v>
      </c>
      <c r="O50" s="2">
        <v>1718</v>
      </c>
      <c r="P50" s="301">
        <v>1.1215050885519006E-2</v>
      </c>
      <c r="Q50" s="14">
        <v>137.575757575757</v>
      </c>
      <c r="R50" s="2">
        <v>1394</v>
      </c>
      <c r="S50" s="301">
        <v>8.9401956068622737E-3</v>
      </c>
      <c r="T50" s="14">
        <v>152.121216</v>
      </c>
      <c r="U50" s="301">
        <v>-0.16175586289837643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1723</v>
      </c>
      <c r="B51" s="2">
        <v>367</v>
      </c>
      <c r="C51" s="301">
        <v>6.2197064705284211E-3</v>
      </c>
      <c r="D51" s="2">
        <v>77.575757575757507</v>
      </c>
      <c r="E51" s="2">
        <v>511</v>
      </c>
      <c r="F51" s="301">
        <v>8.1042932136456639E-3</v>
      </c>
      <c r="G51" s="14">
        <v>78.787878787878796</v>
      </c>
      <c r="H51" s="2">
        <v>536</v>
      </c>
      <c r="I51" s="301">
        <v>8.1738467403736186E-3</v>
      </c>
      <c r="J51" s="14">
        <v>94.545455899999993</v>
      </c>
      <c r="K51" s="301">
        <v>0.46049046321525888</v>
      </c>
      <c r="L51" s="2">
        <v>1267</v>
      </c>
      <c r="M51" s="301">
        <v>8.575992635611691E-3</v>
      </c>
      <c r="N51" s="2">
        <v>136.969696969696</v>
      </c>
      <c r="O51" s="2">
        <v>1629</v>
      </c>
      <c r="P51" s="301">
        <v>1.0634061637084087E-2</v>
      </c>
      <c r="Q51" s="14">
        <v>144.24242424242399</v>
      </c>
      <c r="R51" s="2">
        <v>2583</v>
      </c>
      <c r="S51" s="301">
        <v>1.6565656565656565E-2</v>
      </c>
      <c r="T51" s="14">
        <v>216.363632</v>
      </c>
      <c r="U51" s="301">
        <v>1.0386740331491713</v>
      </c>
      <c r="V51" s="2">
        <v>357910</v>
      </c>
      <c r="W51" s="27">
        <v>0.01</v>
      </c>
      <c r="X51" s="2">
        <v>2028</v>
      </c>
      <c r="Y51" s="2">
        <v>461741</v>
      </c>
      <c r="Z51" s="27">
        <v>1.2E-2</v>
      </c>
      <c r="AA51" s="14">
        <v>2118.1799999999998</v>
      </c>
      <c r="AB51" s="2">
        <v>569190</v>
      </c>
      <c r="AC51" s="27">
        <v>1.4E-2</v>
      </c>
      <c r="AD51" s="14">
        <v>2623.64</v>
      </c>
      <c r="AE51" s="27">
        <v>0.59</v>
      </c>
    </row>
    <row r="52" spans="1:31" x14ac:dyDescent="0.3">
      <c r="A52" t="s">
        <v>1724</v>
      </c>
      <c r="B52" s="2">
        <v>529</v>
      </c>
      <c r="C52" s="301">
        <v>8.9651899806799315E-3</v>
      </c>
      <c r="D52" s="2">
        <v>88.484848484848399</v>
      </c>
      <c r="E52" s="2">
        <v>617</v>
      </c>
      <c r="F52" s="301">
        <v>9.7854186160848816E-3</v>
      </c>
      <c r="G52" s="14">
        <v>98.181818181818201</v>
      </c>
      <c r="H52" s="2">
        <v>847</v>
      </c>
      <c r="I52" s="301">
        <v>1.291650781547846E-2</v>
      </c>
      <c r="J52" s="14">
        <v>155.15152</v>
      </c>
      <c r="K52" s="301">
        <v>0.60113421550094515</v>
      </c>
      <c r="L52" s="2">
        <v>1799</v>
      </c>
      <c r="M52" s="301">
        <v>1.2176961919072953E-2</v>
      </c>
      <c r="N52" s="2">
        <v>123.030303030303</v>
      </c>
      <c r="O52" s="2">
        <v>2506</v>
      </c>
      <c r="P52" s="301">
        <v>1.6359090523347282E-2</v>
      </c>
      <c r="Q52" s="14">
        <v>163.030303030303</v>
      </c>
      <c r="R52" s="2">
        <v>2874</v>
      </c>
      <c r="S52" s="301">
        <v>1.8431938431938431E-2</v>
      </c>
      <c r="T52" s="14">
        <v>214.545456</v>
      </c>
      <c r="U52" s="301">
        <v>0.59755419677598665</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1725</v>
      </c>
      <c r="B53" s="2">
        <v>439</v>
      </c>
      <c r="C53" s="301">
        <v>7.4399213639290921E-3</v>
      </c>
      <c r="D53" s="2">
        <v>78.181818181818201</v>
      </c>
      <c r="E53" s="2">
        <v>541</v>
      </c>
      <c r="F53" s="301">
        <v>8.5800834218831782E-3</v>
      </c>
      <c r="G53" s="14">
        <v>84.848484848484802</v>
      </c>
      <c r="H53" s="2">
        <v>415</v>
      </c>
      <c r="I53" s="301">
        <v>6.328631338162409E-3</v>
      </c>
      <c r="J53" s="14">
        <v>81.212119999999999</v>
      </c>
      <c r="K53" s="301">
        <v>-5.4669703872437359E-2</v>
      </c>
      <c r="L53" s="2">
        <v>1470</v>
      </c>
      <c r="M53" s="301">
        <v>9.9500467043008561E-3</v>
      </c>
      <c r="N53" s="2">
        <v>118.787878787878</v>
      </c>
      <c r="O53" s="2">
        <v>1730</v>
      </c>
      <c r="P53" s="301">
        <v>1.1293386514521468E-2</v>
      </c>
      <c r="Q53" s="14">
        <v>129.09090909090901</v>
      </c>
      <c r="R53" s="2">
        <v>1828</v>
      </c>
      <c r="S53" s="301">
        <v>1.172358505691839E-2</v>
      </c>
      <c r="T53" s="14">
        <v>178.18182400000001</v>
      </c>
      <c r="U53" s="301">
        <v>0.24353741496598638</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1726</v>
      </c>
      <c r="B54" s="2">
        <v>514</v>
      </c>
      <c r="C54" s="301">
        <v>8.7109785445547913E-3</v>
      </c>
      <c r="D54" s="2">
        <v>84.242424242424207</v>
      </c>
      <c r="E54" s="2">
        <v>308</v>
      </c>
      <c r="F54" s="301">
        <v>4.8847794712384819E-3</v>
      </c>
      <c r="G54" s="14">
        <v>64.242424242424207</v>
      </c>
      <c r="H54" s="2">
        <v>530</v>
      </c>
      <c r="I54" s="301">
        <v>8.08234845596645E-3</v>
      </c>
      <c r="J54" s="14">
        <v>111.515152</v>
      </c>
      <c r="K54" s="301">
        <v>3.1128404669260701E-2</v>
      </c>
      <c r="L54" s="2">
        <v>1262</v>
      </c>
      <c r="M54" s="301">
        <v>8.5421489393385595E-3</v>
      </c>
      <c r="N54" s="2">
        <v>123.636363636363</v>
      </c>
      <c r="O54" s="2">
        <v>1128</v>
      </c>
      <c r="P54" s="301">
        <v>7.3635491262313384E-3</v>
      </c>
      <c r="Q54" s="14">
        <v>113.333333333333</v>
      </c>
      <c r="R54" s="2">
        <v>1320</v>
      </c>
      <c r="S54" s="301">
        <v>8.4656084656084662E-3</v>
      </c>
      <c r="T54" s="14">
        <v>140</v>
      </c>
      <c r="U54" s="301">
        <v>4.5958795562599047E-2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1727</v>
      </c>
      <c r="B55" s="2">
        <v>568</v>
      </c>
      <c r="C55" s="301">
        <v>9.6261397146052939E-3</v>
      </c>
      <c r="D55" s="2">
        <v>93.3333333333333</v>
      </c>
      <c r="E55" s="2">
        <v>559</v>
      </c>
      <c r="F55" s="301">
        <v>8.8655575468256868E-3</v>
      </c>
      <c r="G55" s="14">
        <v>95.757575757575694</v>
      </c>
      <c r="H55" s="2">
        <v>533</v>
      </c>
      <c r="I55" s="301">
        <v>8.1280975981700351E-3</v>
      </c>
      <c r="J55" s="14">
        <v>127.272728</v>
      </c>
      <c r="K55" s="301">
        <v>-6.1619718309859156E-2</v>
      </c>
      <c r="L55" s="2">
        <v>1334</v>
      </c>
      <c r="M55" s="301">
        <v>9.0294981656716625E-3</v>
      </c>
      <c r="N55" s="2">
        <v>115.757575757575</v>
      </c>
      <c r="O55" s="2">
        <v>1386</v>
      </c>
      <c r="P55" s="301">
        <v>9.0477651497842503E-3</v>
      </c>
      <c r="Q55" s="14">
        <v>124.84848484848401</v>
      </c>
      <c r="R55" s="2">
        <v>1527</v>
      </c>
      <c r="S55" s="301">
        <v>9.7931697931697929E-3</v>
      </c>
      <c r="T55" s="14">
        <v>143.03030000000001</v>
      </c>
      <c r="U55" s="301">
        <v>0.1446776611694153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1728</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1706</v>
      </c>
      <c r="C58" s="304"/>
      <c r="D58" s="304" t="s">
        <v>1707</v>
      </c>
      <c r="E58" s="304" t="s">
        <v>1706</v>
      </c>
      <c r="F58" s="304"/>
      <c r="G58" s="304" t="s">
        <v>1707</v>
      </c>
      <c r="H58" s="304" t="s">
        <v>1706</v>
      </c>
      <c r="I58" s="304"/>
      <c r="J58" s="304" t="s">
        <v>1707</v>
      </c>
      <c r="K58" t="s">
        <v>172</v>
      </c>
      <c r="L58" s="304" t="s">
        <v>1706</v>
      </c>
      <c r="M58" s="304"/>
      <c r="N58" s="304" t="s">
        <v>1707</v>
      </c>
      <c r="O58" s="304" t="s">
        <v>1706</v>
      </c>
      <c r="P58" s="304"/>
      <c r="Q58" s="304" t="s">
        <v>1707</v>
      </c>
      <c r="R58" s="304" t="s">
        <v>1706</v>
      </c>
      <c r="S58" s="304"/>
      <c r="T58" s="304" t="s">
        <v>1707</v>
      </c>
      <c r="U58" t="s">
        <v>172</v>
      </c>
      <c r="V58" s="207" t="s">
        <v>1706</v>
      </c>
      <c r="W58" s="207"/>
      <c r="X58" s="207" t="s">
        <v>1707</v>
      </c>
      <c r="Y58" s="207" t="s">
        <v>1706</v>
      </c>
      <c r="Z58" s="207"/>
      <c r="AA58" s="207" t="s">
        <v>1707</v>
      </c>
      <c r="AB58" s="207" t="s">
        <v>1706</v>
      </c>
      <c r="AC58" s="207"/>
      <c r="AD58" s="207" t="s">
        <v>1707</v>
      </c>
      <c r="AE58" t="s">
        <v>172</v>
      </c>
    </row>
    <row r="59" spans="1:31" x14ac:dyDescent="0.3">
      <c r="A59" t="s">
        <v>1729</v>
      </c>
      <c r="B59" s="14">
        <v>27.4</v>
      </c>
      <c r="C59" t="s">
        <v>172</v>
      </c>
      <c r="D59" s="14">
        <v>0.48484848484847998</v>
      </c>
      <c r="E59" s="305">
        <v>27.6</v>
      </c>
      <c r="F59" t="s">
        <v>172</v>
      </c>
      <c r="G59" s="14">
        <v>0.60606060606059997</v>
      </c>
      <c r="H59" s="14">
        <v>28.7</v>
      </c>
      <c r="I59" t="s">
        <v>172</v>
      </c>
      <c r="J59" s="14">
        <v>0.48484850000000002</v>
      </c>
      <c r="K59" s="301">
        <v>4.744525547445258E-2</v>
      </c>
      <c r="L59" s="14">
        <v>33.200000000000003</v>
      </c>
      <c r="M59" t="s">
        <v>172</v>
      </c>
      <c r="N59" s="14">
        <v>0.12121212121211999</v>
      </c>
      <c r="O59" s="305">
        <v>33.5</v>
      </c>
      <c r="P59" t="s">
        <v>172</v>
      </c>
      <c r="Q59" s="14">
        <v>0.12121212121211999</v>
      </c>
      <c r="R59" s="14">
        <v>34.1</v>
      </c>
      <c r="S59" t="s">
        <v>172</v>
      </c>
      <c r="T59" s="14">
        <v>0.18181818699999999</v>
      </c>
      <c r="U59" s="301">
        <v>2.7108433734939714E-2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1730</v>
      </c>
      <c r="B60" s="14">
        <v>25.7</v>
      </c>
      <c r="C60" t="s">
        <v>172</v>
      </c>
      <c r="D60" s="14">
        <v>0.78787878787877996</v>
      </c>
      <c r="E60" s="305">
        <v>26.4</v>
      </c>
      <c r="F60" t="s">
        <v>172</v>
      </c>
      <c r="G60" s="14">
        <v>0.60606060606059997</v>
      </c>
      <c r="H60" s="14">
        <v>28.1</v>
      </c>
      <c r="I60" t="s">
        <v>172</v>
      </c>
      <c r="J60" s="14">
        <v>0.54545456199999998</v>
      </c>
      <c r="K60" s="301">
        <v>9.3385214007782186E-2</v>
      </c>
      <c r="L60" s="14">
        <v>31.5</v>
      </c>
      <c r="M60" t="s">
        <v>172</v>
      </c>
      <c r="N60" s="14">
        <v>0.18181818181817999</v>
      </c>
      <c r="O60" s="305">
        <v>32.200000000000003</v>
      </c>
      <c r="P60" t="s">
        <v>172</v>
      </c>
      <c r="Q60" s="14">
        <v>0.36363636363635998</v>
      </c>
      <c r="R60" s="14">
        <v>33.200000000000003</v>
      </c>
      <c r="S60" t="s">
        <v>172</v>
      </c>
      <c r="T60" s="14">
        <v>0.18181818699999999</v>
      </c>
      <c r="U60" s="301">
        <v>5.3968253968254061E-2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1731</v>
      </c>
      <c r="B61" s="14">
        <v>29.2</v>
      </c>
      <c r="C61" t="s">
        <v>172</v>
      </c>
      <c r="D61" s="14">
        <v>0.60606060606059997</v>
      </c>
      <c r="E61" s="305">
        <v>28.4</v>
      </c>
      <c r="F61" t="s">
        <v>172</v>
      </c>
      <c r="G61" s="14">
        <v>0.48484848484847998</v>
      </c>
      <c r="H61" s="14">
        <v>30.4</v>
      </c>
      <c r="I61" t="s">
        <v>172</v>
      </c>
      <c r="J61" s="14">
        <v>0.78787879999999999</v>
      </c>
      <c r="K61" s="301">
        <v>4.1095890410958881E-2</v>
      </c>
      <c r="L61" s="14">
        <v>34.4</v>
      </c>
      <c r="M61" t="s">
        <v>172</v>
      </c>
      <c r="N61" s="14">
        <v>0.12121212121211999</v>
      </c>
      <c r="O61" s="305">
        <v>34.5</v>
      </c>
      <c r="P61" t="s">
        <v>172</v>
      </c>
      <c r="Q61" s="14">
        <v>0.12121212121211999</v>
      </c>
      <c r="R61" s="14">
        <v>34.9</v>
      </c>
      <c r="S61" t="s">
        <v>172</v>
      </c>
      <c r="T61" s="14">
        <v>0.24242425000000001</v>
      </c>
      <c r="U61" s="301">
        <v>1.4534883720930232E-2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1732</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1706</v>
      </c>
      <c r="C64" s="304"/>
      <c r="D64" s="304" t="s">
        <v>1707</v>
      </c>
      <c r="E64" s="304" t="s">
        <v>1706</v>
      </c>
      <c r="F64" s="304"/>
      <c r="G64" s="304" t="s">
        <v>1707</v>
      </c>
      <c r="H64" s="304" t="s">
        <v>1706</v>
      </c>
      <c r="I64" s="304"/>
      <c r="J64" s="304" t="s">
        <v>1707</v>
      </c>
      <c r="K64" t="s">
        <v>172</v>
      </c>
      <c r="L64" s="304" t="s">
        <v>1706</v>
      </c>
      <c r="M64" s="304"/>
      <c r="N64" s="304" t="s">
        <v>1707</v>
      </c>
      <c r="O64" s="304" t="s">
        <v>1706</v>
      </c>
      <c r="P64" s="304"/>
      <c r="Q64" s="304" t="s">
        <v>1707</v>
      </c>
      <c r="R64" s="304" t="s">
        <v>1706</v>
      </c>
      <c r="S64" s="304"/>
      <c r="T64" s="304" t="s">
        <v>1707</v>
      </c>
      <c r="U64" t="s">
        <v>172</v>
      </c>
      <c r="V64" s="207" t="s">
        <v>1706</v>
      </c>
      <c r="W64" s="207"/>
      <c r="X64" s="207" t="s">
        <v>1707</v>
      </c>
      <c r="Y64" s="207" t="s">
        <v>1706</v>
      </c>
      <c r="Z64" s="207"/>
      <c r="AA64" s="207" t="s">
        <v>1707</v>
      </c>
      <c r="AB64" s="207" t="s">
        <v>1706</v>
      </c>
      <c r="AC64" s="207"/>
      <c r="AD64" s="207" t="s">
        <v>1707</v>
      </c>
      <c r="AE64" t="s">
        <v>172</v>
      </c>
    </row>
    <row r="65" spans="1:31" x14ac:dyDescent="0.3">
      <c r="A65" t="s">
        <v>174</v>
      </c>
      <c r="B65" s="2">
        <v>59006</v>
      </c>
      <c r="C65" t="s">
        <v>172</v>
      </c>
      <c r="D65" s="2">
        <v>26.6666666666666</v>
      </c>
      <c r="E65" s="2">
        <v>63053</v>
      </c>
      <c r="F65" t="s">
        <v>172</v>
      </c>
      <c r="G65" s="2">
        <v>26.060606060605998</v>
      </c>
      <c r="H65" s="2">
        <v>65575</v>
      </c>
      <c r="I65" t="s">
        <v>172</v>
      </c>
      <c r="J65" s="14">
        <v>24.848483999999999</v>
      </c>
      <c r="K65" s="301">
        <v>0.11132766159373624</v>
      </c>
      <c r="L65" s="2">
        <v>147738</v>
      </c>
      <c r="M65" t="s">
        <v>172</v>
      </c>
      <c r="N65" s="2">
        <v>0</v>
      </c>
      <c r="O65" s="2">
        <v>153187</v>
      </c>
      <c r="P65" t="s">
        <v>172</v>
      </c>
      <c r="Q65" s="2">
        <v>0</v>
      </c>
      <c r="R65" s="2">
        <v>155925</v>
      </c>
      <c r="S65" t="s">
        <v>172</v>
      </c>
      <c r="T65" s="14">
        <v>0</v>
      </c>
      <c r="U65" s="301">
        <v>5.541566827762661E-2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1733</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1706</v>
      </c>
      <c r="C68" s="304"/>
      <c r="D68" s="304" t="s">
        <v>1707</v>
      </c>
      <c r="E68" s="304" t="s">
        <v>1706</v>
      </c>
      <c r="F68" s="304"/>
      <c r="G68" s="304" t="s">
        <v>1707</v>
      </c>
      <c r="H68" s="304" t="s">
        <v>1706</v>
      </c>
      <c r="I68" s="304"/>
      <c r="J68" s="304" t="s">
        <v>1707</v>
      </c>
      <c r="K68" t="s">
        <v>172</v>
      </c>
      <c r="L68" s="304" t="s">
        <v>1706</v>
      </c>
      <c r="M68" s="304"/>
      <c r="N68" s="304" t="s">
        <v>1707</v>
      </c>
      <c r="O68" s="304" t="s">
        <v>1706</v>
      </c>
      <c r="P68" s="304"/>
      <c r="Q68" s="304" t="s">
        <v>1707</v>
      </c>
      <c r="R68" s="304" t="s">
        <v>1706</v>
      </c>
      <c r="S68" s="304"/>
      <c r="T68" s="304" t="s">
        <v>1707</v>
      </c>
      <c r="U68" t="s">
        <v>172</v>
      </c>
      <c r="V68" s="207" t="s">
        <v>1706</v>
      </c>
      <c r="W68" s="207"/>
      <c r="X68" s="207" t="s">
        <v>1707</v>
      </c>
      <c r="Y68" s="207" t="s">
        <v>1706</v>
      </c>
      <c r="Z68" s="207"/>
      <c r="AA68" s="207" t="s">
        <v>1707</v>
      </c>
      <c r="AB68" s="207" t="s">
        <v>1706</v>
      </c>
      <c r="AC68" s="207"/>
      <c r="AD68" s="207" t="s">
        <v>1707</v>
      </c>
      <c r="AE68" t="s">
        <v>172</v>
      </c>
    </row>
    <row r="69" spans="1:31" x14ac:dyDescent="0.3">
      <c r="A69" t="s">
        <v>174</v>
      </c>
      <c r="B69" s="2">
        <v>59006</v>
      </c>
      <c r="C69" t="s">
        <v>172</v>
      </c>
      <c r="D69" s="2">
        <v>26.6666666666666</v>
      </c>
      <c r="E69" s="2">
        <v>63053</v>
      </c>
      <c r="F69" t="s">
        <v>172</v>
      </c>
      <c r="G69" s="2">
        <v>26.060606060605998</v>
      </c>
      <c r="H69" s="2">
        <v>65575</v>
      </c>
      <c r="I69" t="s">
        <v>172</v>
      </c>
      <c r="J69" s="14">
        <v>24.848483999999999</v>
      </c>
      <c r="K69" s="301">
        <v>0.11132766159373624</v>
      </c>
      <c r="L69" s="2">
        <v>147738</v>
      </c>
      <c r="M69" t="s">
        <v>172</v>
      </c>
      <c r="N69" s="2">
        <v>0</v>
      </c>
      <c r="O69" s="2">
        <v>153187</v>
      </c>
      <c r="P69" t="s">
        <v>172</v>
      </c>
      <c r="Q69" s="2">
        <v>0</v>
      </c>
      <c r="R69" s="2">
        <v>155925</v>
      </c>
      <c r="S69" t="s">
        <v>172</v>
      </c>
      <c r="T69" s="14">
        <v>0</v>
      </c>
      <c r="U69" s="301">
        <v>5.541566827762661E-2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46923</v>
      </c>
      <c r="C70" s="301">
        <v>0.79522421448666236</v>
      </c>
      <c r="D70" s="2">
        <v>771.51515151515105</v>
      </c>
      <c r="E70" s="2">
        <v>50060</v>
      </c>
      <c r="F70" s="301">
        <v>0.79393526081233246</v>
      </c>
      <c r="G70" s="14">
        <v>833.93939393939399</v>
      </c>
      <c r="H70" s="2">
        <v>31827</v>
      </c>
      <c r="I70" s="301">
        <v>0.48535264963781927</v>
      </c>
      <c r="J70" s="14">
        <v>1450.3030000000001</v>
      </c>
      <c r="K70" s="301">
        <v>-0.32171856019436096</v>
      </c>
      <c r="L70" s="2">
        <v>117587</v>
      </c>
      <c r="M70" s="301">
        <v>0.79591574273375842</v>
      </c>
      <c r="N70" s="2">
        <v>1110.9090909090901</v>
      </c>
      <c r="O70" s="2">
        <v>125082</v>
      </c>
      <c r="P70" s="301">
        <v>0.81653142890715269</v>
      </c>
      <c r="Q70" s="14">
        <v>1012.12121212121</v>
      </c>
      <c r="R70" s="2">
        <v>94643</v>
      </c>
      <c r="S70" s="301">
        <v>0.60697771364438036</v>
      </c>
      <c r="T70" s="14">
        <v>1689.6969999999999</v>
      </c>
      <c r="U70" s="301">
        <v>-0.19512361060321293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1734</v>
      </c>
      <c r="B71" s="2">
        <v>2041</v>
      </c>
      <c r="C71" s="301">
        <v>3.4589702742094025E-2</v>
      </c>
      <c r="D71" s="2">
        <v>310.90909090909003</v>
      </c>
      <c r="E71" s="2">
        <v>1951</v>
      </c>
      <c r="F71" s="301">
        <v>3.0942223209046358E-2</v>
      </c>
      <c r="G71" s="14">
        <v>292.72727272727201</v>
      </c>
      <c r="H71" s="2">
        <v>2833</v>
      </c>
      <c r="I71" s="301">
        <v>4.3202439954250861E-2</v>
      </c>
      <c r="J71" s="14">
        <v>283.63635299999999</v>
      </c>
      <c r="K71" s="301">
        <v>0.38804507594316512</v>
      </c>
      <c r="L71" s="2">
        <v>5654</v>
      </c>
      <c r="M71" s="301">
        <v>3.8270451745657852E-2</v>
      </c>
      <c r="N71" s="2">
        <v>144.24242424242399</v>
      </c>
      <c r="O71" s="2">
        <v>5313</v>
      </c>
      <c r="P71" s="301">
        <v>3.4683099740839628E-2</v>
      </c>
      <c r="Q71" s="14">
        <v>177.575757575757</v>
      </c>
      <c r="R71" s="2">
        <v>4919</v>
      </c>
      <c r="S71" s="301">
        <v>3.1547218213884884E-2</v>
      </c>
      <c r="T71" s="14">
        <v>188.484848</v>
      </c>
      <c r="U71" s="301">
        <v>-0.12999646268128759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1735</v>
      </c>
      <c r="B72" s="2">
        <v>535</v>
      </c>
      <c r="C72" s="301">
        <v>9.0668745551299862E-3</v>
      </c>
      <c r="D72" s="2">
        <v>137.575757575757</v>
      </c>
      <c r="E72" s="2">
        <v>543</v>
      </c>
      <c r="F72" s="301">
        <v>8.6118027690990119E-3</v>
      </c>
      <c r="G72" s="14">
        <v>141.21212121212099</v>
      </c>
      <c r="H72" s="2">
        <v>683</v>
      </c>
      <c r="I72" s="301">
        <v>1.0415554708349218E-2</v>
      </c>
      <c r="J72" s="14">
        <v>274.54544099999998</v>
      </c>
      <c r="K72" s="301">
        <v>0.27663551401869158</v>
      </c>
      <c r="L72" s="2">
        <v>2385</v>
      </c>
      <c r="M72" s="301">
        <v>1.6143443122284044E-2</v>
      </c>
      <c r="N72" s="2">
        <v>329.09090909090901</v>
      </c>
      <c r="O72" s="2">
        <v>2325</v>
      </c>
      <c r="P72" s="301">
        <v>1.5177528119226827E-2</v>
      </c>
      <c r="Q72" s="14">
        <v>210.30303030303</v>
      </c>
      <c r="R72" s="2">
        <v>2503</v>
      </c>
      <c r="S72" s="301">
        <v>1.605258938592272E-2</v>
      </c>
      <c r="T72" s="14">
        <v>342.42425500000002</v>
      </c>
      <c r="U72" s="301">
        <v>4.9475890985324948E-2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1619</v>
      </c>
      <c r="C73" s="301">
        <v>2.7437887672440091E-2</v>
      </c>
      <c r="D73" s="2">
        <v>295.75757575757501</v>
      </c>
      <c r="E73" s="2">
        <v>1868</v>
      </c>
      <c r="F73" s="301">
        <v>2.9625870299589234E-2</v>
      </c>
      <c r="G73" s="14">
        <v>203.636363636363</v>
      </c>
      <c r="H73" s="2">
        <v>1078</v>
      </c>
      <c r="I73" s="301">
        <v>1.6439191765154404E-2</v>
      </c>
      <c r="J73" s="14">
        <v>256.96969999999999</v>
      </c>
      <c r="K73" s="301">
        <v>-0.33415688696726376</v>
      </c>
      <c r="L73" s="2">
        <v>2938</v>
      </c>
      <c r="M73" s="301">
        <v>1.9886555930092462E-2</v>
      </c>
      <c r="N73" s="2">
        <v>140.60606060606</v>
      </c>
      <c r="O73" s="2">
        <v>3252</v>
      </c>
      <c r="P73" s="301">
        <v>2.1228955459666944E-2</v>
      </c>
      <c r="Q73" s="14">
        <v>156.363636363636</v>
      </c>
      <c r="R73" s="2">
        <v>3362</v>
      </c>
      <c r="S73" s="301">
        <v>2.1561648228314894E-2</v>
      </c>
      <c r="T73" s="14">
        <v>172.72728000000001</v>
      </c>
      <c r="U73" s="301">
        <v>0.14431586113002043</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1736</v>
      </c>
      <c r="B74" s="2">
        <v>44</v>
      </c>
      <c r="C74" s="301">
        <v>7.4568687930041011E-4</v>
      </c>
      <c r="D74" s="2">
        <v>21.818181818181799</v>
      </c>
      <c r="E74" s="2">
        <v>40</v>
      </c>
      <c r="F74" s="301">
        <v>6.3438694431668596E-4</v>
      </c>
      <c r="G74" s="14">
        <v>33.3333333333333</v>
      </c>
      <c r="H74" s="2">
        <v>70</v>
      </c>
      <c r="I74" s="301">
        <v>1.067479984750286E-3</v>
      </c>
      <c r="J74" s="14">
        <v>46.6666679</v>
      </c>
      <c r="K74" s="301">
        <v>0.59090909090909094</v>
      </c>
      <c r="L74" s="2">
        <v>163</v>
      </c>
      <c r="M74" s="301">
        <v>1.1033044985041087E-3</v>
      </c>
      <c r="N74" s="2">
        <v>30.909090909090899</v>
      </c>
      <c r="O74" s="2">
        <v>263</v>
      </c>
      <c r="P74" s="301">
        <v>1.7168558689706047E-3</v>
      </c>
      <c r="Q74" s="14">
        <v>45.454545454545404</v>
      </c>
      <c r="R74" s="2">
        <v>159</v>
      </c>
      <c r="S74" s="301">
        <v>1.0197210197210196E-3</v>
      </c>
      <c r="T74" s="14">
        <v>56.969695999999999</v>
      </c>
      <c r="U74" s="301">
        <v>-2.4539877300613498E-2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6424</v>
      </c>
      <c r="C75" s="301">
        <v>0.10887028437785988</v>
      </c>
      <c r="D75" s="2">
        <v>583.63636363636294</v>
      </c>
      <c r="E75" s="2">
        <v>6493</v>
      </c>
      <c r="F75" s="301">
        <v>0.10297686073620604</v>
      </c>
      <c r="G75" s="14">
        <v>729.09090909090901</v>
      </c>
      <c r="H75" s="2">
        <v>23537</v>
      </c>
      <c r="I75" s="301">
        <v>0.35893252001524972</v>
      </c>
      <c r="J75" s="14">
        <v>1524.24243</v>
      </c>
      <c r="K75" s="301">
        <v>2.6639165628891655</v>
      </c>
      <c r="L75" s="2">
        <v>13521</v>
      </c>
      <c r="M75" s="301">
        <v>9.1520123461804007E-2</v>
      </c>
      <c r="N75" s="2">
        <v>1036.9696969696899</v>
      </c>
      <c r="O75" s="2">
        <v>12143</v>
      </c>
      <c r="P75" s="301">
        <v>7.9269128581407042E-2</v>
      </c>
      <c r="Q75" s="14">
        <v>870.90909090909099</v>
      </c>
      <c r="R75" s="2">
        <v>38486</v>
      </c>
      <c r="S75" s="301">
        <v>0.24682379349046016</v>
      </c>
      <c r="T75" s="14">
        <v>1881.8182400000001</v>
      </c>
      <c r="U75" s="301">
        <v>1.8463871015457436</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1737</v>
      </c>
      <c r="B76" s="2">
        <v>1420</v>
      </c>
      <c r="C76" s="301">
        <v>2.4065349286513237E-2</v>
      </c>
      <c r="D76" s="2">
        <v>286.666666666666</v>
      </c>
      <c r="E76" s="2">
        <v>2098</v>
      </c>
      <c r="F76" s="301">
        <v>3.3273595229410181E-2</v>
      </c>
      <c r="G76" s="14">
        <v>362.42424242424198</v>
      </c>
      <c r="H76" s="2">
        <v>5547</v>
      </c>
      <c r="I76" s="301">
        <v>8.4590163934426227E-2</v>
      </c>
      <c r="J76" s="14">
        <v>959.39390000000003</v>
      </c>
      <c r="K76" s="301">
        <v>2.9063380281690141</v>
      </c>
      <c r="L76" s="2">
        <v>5490</v>
      </c>
      <c r="M76" s="301">
        <v>3.7160378507899119E-2</v>
      </c>
      <c r="N76" s="2">
        <v>519.39393939393904</v>
      </c>
      <c r="O76" s="2">
        <v>4809</v>
      </c>
      <c r="P76" s="301">
        <v>3.1393003322736264E-2</v>
      </c>
      <c r="Q76" s="14">
        <v>466.06060606060601</v>
      </c>
      <c r="R76" s="2">
        <v>11853</v>
      </c>
      <c r="S76" s="301">
        <v>7.6017316017316011E-2</v>
      </c>
      <c r="T76" s="14">
        <v>1015.15149</v>
      </c>
      <c r="U76" s="301">
        <v>1.159016393442623</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440</v>
      </c>
      <c r="C77" s="301">
        <v>7.4568687930041009E-3</v>
      </c>
      <c r="D77" s="2">
        <v>114.54545454545401</v>
      </c>
      <c r="E77" s="2">
        <v>977</v>
      </c>
      <c r="F77" s="301">
        <v>1.5494901114935055E-2</v>
      </c>
      <c r="G77" s="14">
        <v>260.60606060606</v>
      </c>
      <c r="H77" s="2">
        <v>3823</v>
      </c>
      <c r="I77" s="301">
        <v>5.8299656881433473E-2</v>
      </c>
      <c r="J77" s="14">
        <v>923.63635299999999</v>
      </c>
      <c r="K77" s="301">
        <v>7.6886363636363635</v>
      </c>
      <c r="L77" s="2">
        <v>1973</v>
      </c>
      <c r="M77" s="301">
        <v>1.3354722549377952E-2</v>
      </c>
      <c r="N77" s="2">
        <v>300</v>
      </c>
      <c r="O77" s="2">
        <v>1825</v>
      </c>
      <c r="P77" s="301">
        <v>1.1913543577457617E-2</v>
      </c>
      <c r="Q77" s="14">
        <v>310.90909090909003</v>
      </c>
      <c r="R77" s="2">
        <v>6998</v>
      </c>
      <c r="S77" s="301">
        <v>4.4880551547218213E-2</v>
      </c>
      <c r="T77" s="14">
        <v>989.09090000000003</v>
      </c>
      <c r="U77" s="301">
        <v>2.546882919412063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1738</v>
      </c>
      <c r="B78" s="2">
        <v>980</v>
      </c>
      <c r="C78" s="301">
        <v>1.6608480493509135E-2</v>
      </c>
      <c r="D78" s="2">
        <v>264.84848484848402</v>
      </c>
      <c r="E78" s="2">
        <v>1121</v>
      </c>
      <c r="F78" s="301">
        <v>1.7778694114475125E-2</v>
      </c>
      <c r="G78" s="14">
        <v>240.60606060606</v>
      </c>
      <c r="H78" s="2">
        <v>1724</v>
      </c>
      <c r="I78" s="301">
        <v>2.6290507052992757E-2</v>
      </c>
      <c r="J78" s="14">
        <v>377.57574499999998</v>
      </c>
      <c r="K78" s="301">
        <v>0.75918367346938775</v>
      </c>
      <c r="L78" s="2">
        <v>3517</v>
      </c>
      <c r="M78" s="301">
        <v>2.3805655958521167E-2</v>
      </c>
      <c r="N78" s="2">
        <v>416.969696969697</v>
      </c>
      <c r="O78" s="2">
        <v>2984</v>
      </c>
      <c r="P78" s="301">
        <v>1.9479459745278645E-2</v>
      </c>
      <c r="Q78" s="14">
        <v>337.575757575757</v>
      </c>
      <c r="R78" s="2">
        <v>4855</v>
      </c>
      <c r="S78" s="301">
        <v>3.1136764470097802E-2</v>
      </c>
      <c r="T78" s="14">
        <v>575.15150000000006</v>
      </c>
      <c r="U78" s="301">
        <v>0.3804378731873756</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1739</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1706</v>
      </c>
      <c r="C81" s="304"/>
      <c r="D81" s="304" t="s">
        <v>1707</v>
      </c>
      <c r="E81" s="304" t="s">
        <v>1706</v>
      </c>
      <c r="F81" s="304"/>
      <c r="G81" s="304" t="s">
        <v>1707</v>
      </c>
      <c r="H81" s="304" t="s">
        <v>1706</v>
      </c>
      <c r="I81" s="304"/>
      <c r="J81" s="304" t="s">
        <v>1707</v>
      </c>
      <c r="K81" t="s">
        <v>172</v>
      </c>
      <c r="L81" s="304" t="s">
        <v>1706</v>
      </c>
      <c r="M81" s="304"/>
      <c r="N81" s="304" t="s">
        <v>1707</v>
      </c>
      <c r="O81" s="304" t="s">
        <v>1706</v>
      </c>
      <c r="P81" s="304"/>
      <c r="Q81" s="304" t="s">
        <v>1707</v>
      </c>
      <c r="R81" s="304" t="s">
        <v>1706</v>
      </c>
      <c r="S81" s="304"/>
      <c r="T81" s="304" t="s">
        <v>1707</v>
      </c>
      <c r="U81" t="s">
        <v>172</v>
      </c>
      <c r="V81" s="207" t="s">
        <v>1706</v>
      </c>
      <c r="W81" s="207"/>
      <c r="X81" s="207" t="s">
        <v>1707</v>
      </c>
      <c r="Y81" s="207" t="s">
        <v>1706</v>
      </c>
      <c r="Z81" s="207"/>
      <c r="AA81" s="207" t="s">
        <v>1707</v>
      </c>
      <c r="AB81" s="207" t="s">
        <v>1706</v>
      </c>
      <c r="AC81" s="207"/>
      <c r="AD81" s="207" t="s">
        <v>1707</v>
      </c>
      <c r="AE81" t="s">
        <v>172</v>
      </c>
    </row>
    <row r="82" spans="1:31" x14ac:dyDescent="0.3">
      <c r="A82" t="s">
        <v>174</v>
      </c>
      <c r="B82" s="2">
        <v>59006</v>
      </c>
      <c r="C82" t="s">
        <v>172</v>
      </c>
      <c r="D82" s="2">
        <v>26.6666666666666</v>
      </c>
      <c r="E82" s="2">
        <v>63053</v>
      </c>
      <c r="F82" t="s">
        <v>172</v>
      </c>
      <c r="G82" s="2">
        <v>26.060606060605998</v>
      </c>
      <c r="H82" s="2">
        <v>65575</v>
      </c>
      <c r="I82" t="s">
        <v>172</v>
      </c>
      <c r="J82" s="14">
        <v>24.848483999999999</v>
      </c>
      <c r="K82" s="301">
        <v>0.11132766159373624</v>
      </c>
      <c r="L82" s="2">
        <v>147738</v>
      </c>
      <c r="M82" t="s">
        <v>172</v>
      </c>
      <c r="N82" s="2">
        <v>0</v>
      </c>
      <c r="O82" s="2">
        <v>153187</v>
      </c>
      <c r="P82" t="s">
        <v>172</v>
      </c>
      <c r="Q82" s="2">
        <v>0</v>
      </c>
      <c r="R82" s="2">
        <v>155925</v>
      </c>
      <c r="S82" t="s">
        <v>172</v>
      </c>
      <c r="T82" s="14">
        <v>0</v>
      </c>
      <c r="U82" s="301">
        <v>5.541566827762661E-2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1740</v>
      </c>
      <c r="B83" s="2">
        <v>15417</v>
      </c>
      <c r="C83" s="301">
        <v>0.26127851404941871</v>
      </c>
      <c r="D83" s="2">
        <v>609.69696969696895</v>
      </c>
      <c r="E83" s="2">
        <v>13604</v>
      </c>
      <c r="F83" s="301">
        <v>0.21575499976210488</v>
      </c>
      <c r="G83" s="14">
        <v>604.84848484848396</v>
      </c>
      <c r="H83" s="2">
        <v>14256</v>
      </c>
      <c r="I83" s="301">
        <v>0.21739992375142966</v>
      </c>
      <c r="J83" s="14">
        <v>814.54549999999995</v>
      </c>
      <c r="K83" s="301">
        <v>-7.5306479859894915E-2</v>
      </c>
      <c r="L83" s="2">
        <v>71019</v>
      </c>
      <c r="M83" s="301">
        <v>0.48070909312431465</v>
      </c>
      <c r="N83" s="2">
        <v>0</v>
      </c>
      <c r="O83" s="2">
        <v>67942</v>
      </c>
      <c r="P83" s="301">
        <v>0.44352327547376735</v>
      </c>
      <c r="Q83" s="14">
        <v>0</v>
      </c>
      <c r="R83" s="2">
        <v>64967</v>
      </c>
      <c r="S83" s="301">
        <v>0.41665544332210996</v>
      </c>
      <c r="T83" s="14">
        <v>0</v>
      </c>
      <c r="U83" s="301">
        <v>-8.5216632168856221E-2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11358</v>
      </c>
      <c r="C84" s="301">
        <v>0.19248889943395586</v>
      </c>
      <c r="D84" s="2">
        <v>546.66666666666595</v>
      </c>
      <c r="E84" s="2">
        <v>9149</v>
      </c>
      <c r="F84" s="301">
        <v>0.14510015383883398</v>
      </c>
      <c r="G84" s="14">
        <v>493.93939393939399</v>
      </c>
      <c r="H84" s="2">
        <v>9389</v>
      </c>
      <c r="I84" s="301">
        <v>0.14317956538314908</v>
      </c>
      <c r="J84" s="14">
        <v>716.36364700000001</v>
      </c>
      <c r="K84" s="301">
        <v>-0.17335798556083817</v>
      </c>
      <c r="L84" s="2">
        <v>58687</v>
      </c>
      <c r="M84" s="301">
        <v>0.39723700063626149</v>
      </c>
      <c r="N84" s="2">
        <v>71.515151515151501</v>
      </c>
      <c r="O84" s="2">
        <v>55593</v>
      </c>
      <c r="P84" s="301">
        <v>0.36290938526115141</v>
      </c>
      <c r="Q84" s="14">
        <v>84.242424242424207</v>
      </c>
      <c r="R84" s="2">
        <v>52109</v>
      </c>
      <c r="S84" s="301">
        <v>0.3341927208593875</v>
      </c>
      <c r="T84" s="14">
        <v>115.151512</v>
      </c>
      <c r="U84" s="301">
        <v>-0.11208615195869613</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1741</v>
      </c>
      <c r="B85" s="2">
        <v>1832</v>
      </c>
      <c r="C85" s="301">
        <v>3.1047690065417077E-2</v>
      </c>
      <c r="D85" s="2">
        <v>275.15151515151501</v>
      </c>
      <c r="E85" s="2">
        <v>1673</v>
      </c>
      <c r="F85" s="301">
        <v>2.6533233946045391E-2</v>
      </c>
      <c r="G85" s="14">
        <v>280</v>
      </c>
      <c r="H85" s="2">
        <v>2766</v>
      </c>
      <c r="I85" s="301">
        <v>4.2180709111704157E-2</v>
      </c>
      <c r="J85" s="14">
        <v>284.24243200000001</v>
      </c>
      <c r="K85" s="301">
        <v>0.50982532751091703</v>
      </c>
      <c r="L85" s="2">
        <v>5318</v>
      </c>
      <c r="M85" s="301">
        <v>3.5996155356103371E-2</v>
      </c>
      <c r="N85" s="2">
        <v>91.515151515151501</v>
      </c>
      <c r="O85" s="2">
        <v>4941</v>
      </c>
      <c r="P85" s="301">
        <v>3.2254695241763338E-2</v>
      </c>
      <c r="Q85" s="14">
        <v>152.12121212121201</v>
      </c>
      <c r="R85" s="2">
        <v>4768</v>
      </c>
      <c r="S85" s="301">
        <v>3.0578803912137246E-2</v>
      </c>
      <c r="T85" s="14">
        <v>186.060608</v>
      </c>
      <c r="U85" s="301">
        <v>-0.10342233922527266</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1742</v>
      </c>
      <c r="B86" s="2">
        <v>99</v>
      </c>
      <c r="C86" s="301">
        <v>1.6777954784259227E-3</v>
      </c>
      <c r="D86" s="2">
        <v>37.5757575757575</v>
      </c>
      <c r="E86" s="2">
        <v>342</v>
      </c>
      <c r="F86" s="301">
        <v>5.4240083739076654E-3</v>
      </c>
      <c r="G86" s="14">
        <v>109.09090909090899</v>
      </c>
      <c r="H86" s="2">
        <v>171</v>
      </c>
      <c r="I86" s="301">
        <v>2.6077011056042697E-3</v>
      </c>
      <c r="J86" s="14">
        <v>106.666664</v>
      </c>
      <c r="K86" s="301">
        <v>0.72727272727272729</v>
      </c>
      <c r="L86" s="2">
        <v>1474</v>
      </c>
      <c r="M86" s="301">
        <v>9.9771216613193624E-3</v>
      </c>
      <c r="N86" s="2">
        <v>177.575757575757</v>
      </c>
      <c r="O86" s="2">
        <v>1615</v>
      </c>
      <c r="P86" s="301">
        <v>1.0542670069914549E-2</v>
      </c>
      <c r="Q86" s="14">
        <v>149.09090909090901</v>
      </c>
      <c r="R86" s="2">
        <v>1446</v>
      </c>
      <c r="S86" s="301">
        <v>9.2736892736892743E-3</v>
      </c>
      <c r="T86" s="14">
        <v>158.78787199999999</v>
      </c>
      <c r="U86" s="301">
        <v>-1.8995929443690638E-2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1467</v>
      </c>
      <c r="C87" s="301">
        <v>2.4861878453038673E-2</v>
      </c>
      <c r="D87" s="2">
        <v>287.27272727272702</v>
      </c>
      <c r="E87" s="2">
        <v>1669</v>
      </c>
      <c r="F87" s="301">
        <v>2.646979525161372E-2</v>
      </c>
      <c r="G87" s="14">
        <v>195.15151515151501</v>
      </c>
      <c r="H87" s="2">
        <v>1035</v>
      </c>
      <c r="I87" s="301">
        <v>1.578345406023637E-2</v>
      </c>
      <c r="J87" s="14">
        <v>252.72728000000001</v>
      </c>
      <c r="K87" s="301">
        <v>-0.29447852760736198</v>
      </c>
      <c r="L87" s="2">
        <v>2715</v>
      </c>
      <c r="M87" s="301">
        <v>1.8377127076310767E-2</v>
      </c>
      <c r="N87" s="2">
        <v>112.72727272727199</v>
      </c>
      <c r="O87" s="2">
        <v>3027</v>
      </c>
      <c r="P87" s="301">
        <v>1.9760162415870797E-2</v>
      </c>
      <c r="Q87" s="14">
        <v>136.969696969696</v>
      </c>
      <c r="R87" s="2">
        <v>3166</v>
      </c>
      <c r="S87" s="301">
        <v>2.030463363796697E-2</v>
      </c>
      <c r="T87" s="14">
        <v>148.484848</v>
      </c>
      <c r="U87" s="301">
        <v>0.16611418047882137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1743</v>
      </c>
      <c r="B88" s="2">
        <v>44</v>
      </c>
      <c r="C88" s="301">
        <v>7.4568687930041011E-4</v>
      </c>
      <c r="D88" s="2">
        <v>21.818181818181799</v>
      </c>
      <c r="E88" s="2">
        <v>7</v>
      </c>
      <c r="F88" s="301">
        <v>1.1101771525542005E-4</v>
      </c>
      <c r="G88" s="14">
        <v>11.5151515151515</v>
      </c>
      <c r="H88" s="2">
        <v>70</v>
      </c>
      <c r="I88" s="301">
        <v>1.067479984750286E-3</v>
      </c>
      <c r="J88" s="14">
        <v>46.6666679</v>
      </c>
      <c r="K88" s="301">
        <v>0.59090909090909094</v>
      </c>
      <c r="L88" s="2">
        <v>163</v>
      </c>
      <c r="M88" s="301">
        <v>1.1033044985041087E-3</v>
      </c>
      <c r="N88" s="2">
        <v>30.909090909090899</v>
      </c>
      <c r="O88" s="2">
        <v>212</v>
      </c>
      <c r="P88" s="301">
        <v>1.3839294457101451E-3</v>
      </c>
      <c r="Q88" s="14">
        <v>33.3333333333333</v>
      </c>
      <c r="R88" s="2">
        <v>127</v>
      </c>
      <c r="S88" s="301">
        <v>8.1449414782748118E-4</v>
      </c>
      <c r="T88" s="14">
        <v>40</v>
      </c>
      <c r="U88" s="301">
        <v>-0.22085889570552147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68</v>
      </c>
      <c r="C89" s="301">
        <v>1.1524251771006337E-3</v>
      </c>
      <c r="D89" s="2">
        <v>44.2424242424242</v>
      </c>
      <c r="E89" s="2">
        <v>177</v>
      </c>
      <c r="F89" s="301">
        <v>2.8071622286013355E-3</v>
      </c>
      <c r="G89" s="14">
        <v>67.272727272727195</v>
      </c>
      <c r="H89" s="2">
        <v>0</v>
      </c>
      <c r="I89" s="301">
        <v>0</v>
      </c>
      <c r="J89" s="14">
        <v>18.787877999999999</v>
      </c>
      <c r="K89" s="301">
        <v>-1</v>
      </c>
      <c r="L89" s="2">
        <v>94</v>
      </c>
      <c r="M89" s="301">
        <v>6.3626148993488471E-4</v>
      </c>
      <c r="N89" s="2">
        <v>46.060606060605998</v>
      </c>
      <c r="O89" s="2">
        <v>306</v>
      </c>
      <c r="P89" s="301">
        <v>1.9975585395627564E-3</v>
      </c>
      <c r="Q89" s="14">
        <v>92.727272727272705</v>
      </c>
      <c r="R89" s="2">
        <v>320</v>
      </c>
      <c r="S89" s="301">
        <v>2.0522687189353855E-3</v>
      </c>
      <c r="T89" s="14">
        <v>136.96969999999999</v>
      </c>
      <c r="U89" s="301">
        <v>2.4042553191489362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1744</v>
      </c>
      <c r="B90" s="2">
        <v>549</v>
      </c>
      <c r="C90" s="301">
        <v>9.3041385621801167E-3</v>
      </c>
      <c r="D90" s="2">
        <v>135.75757575757501</v>
      </c>
      <c r="E90" s="2">
        <v>587</v>
      </c>
      <c r="F90" s="301">
        <v>9.3096284078473673E-3</v>
      </c>
      <c r="G90" s="14">
        <v>136.969696969696</v>
      </c>
      <c r="H90" s="2">
        <v>825</v>
      </c>
      <c r="I90" s="301">
        <v>1.2581014105985514E-2</v>
      </c>
      <c r="J90" s="14">
        <v>207.878784</v>
      </c>
      <c r="K90" s="301">
        <v>0.50273224043715847</v>
      </c>
      <c r="L90" s="2">
        <v>2568</v>
      </c>
      <c r="M90" s="301">
        <v>1.738212240588068E-2</v>
      </c>
      <c r="N90" s="2">
        <v>236.363636363636</v>
      </c>
      <c r="O90" s="2">
        <v>2248</v>
      </c>
      <c r="P90" s="301">
        <v>1.4674874499794368E-2</v>
      </c>
      <c r="Q90" s="14">
        <v>272.12121212121201</v>
      </c>
      <c r="R90" s="2">
        <v>3031</v>
      </c>
      <c r="S90" s="301">
        <v>1.9438832772166105E-2</v>
      </c>
      <c r="T90" s="14">
        <v>332.121216</v>
      </c>
      <c r="U90" s="301">
        <v>0.18029595015576325</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16</v>
      </c>
      <c r="C91" s="301">
        <v>2.7115886520014912E-4</v>
      </c>
      <c r="D91" s="2">
        <v>16.969696969696901</v>
      </c>
      <c r="E91" s="2">
        <v>15</v>
      </c>
      <c r="F91" s="301">
        <v>2.3789510411875725E-4</v>
      </c>
      <c r="G91" s="14">
        <v>11.5151515151515</v>
      </c>
      <c r="H91" s="2">
        <v>18</v>
      </c>
      <c r="I91" s="301">
        <v>2.744948532215021E-4</v>
      </c>
      <c r="J91" s="14">
        <v>16.363636</v>
      </c>
      <c r="K91" s="301">
        <v>0.125</v>
      </c>
      <c r="L91" s="2">
        <v>204</v>
      </c>
      <c r="M91" s="301">
        <v>1.3808228079437925E-3</v>
      </c>
      <c r="N91" s="2">
        <v>69.090909090909093</v>
      </c>
      <c r="O91" s="2">
        <v>85</v>
      </c>
      <c r="P91" s="301">
        <v>5.5487737210076573E-4</v>
      </c>
      <c r="Q91" s="14">
        <v>48.484848484848399</v>
      </c>
      <c r="R91" s="2">
        <v>348</v>
      </c>
      <c r="S91" s="301">
        <v>2.231842231842232E-3</v>
      </c>
      <c r="T91" s="14">
        <v>82.424239999999998</v>
      </c>
      <c r="U91" s="301">
        <v>0.70588235294117652</v>
      </c>
      <c r="V91" s="2">
        <v>51485</v>
      </c>
      <c r="W91" s="27">
        <v>1E-3</v>
      </c>
      <c r="X91" s="2">
        <v>1338</v>
      </c>
      <c r="Y91" s="2">
        <v>53600</v>
      </c>
      <c r="Z91" s="27">
        <v>1E-3</v>
      </c>
      <c r="AA91" s="14">
        <v>1787.27</v>
      </c>
      <c r="AB91" s="2">
        <v>98006</v>
      </c>
      <c r="AC91" s="27">
        <v>2E-3</v>
      </c>
      <c r="AD91" s="14">
        <v>2473.94</v>
      </c>
      <c r="AE91" s="27">
        <v>0.90400000000000003</v>
      </c>
    </row>
    <row r="92" spans="1:31" x14ac:dyDescent="0.3">
      <c r="A92" t="s">
        <v>1745</v>
      </c>
      <c r="B92" s="2">
        <v>533</v>
      </c>
      <c r="C92" s="301">
        <v>9.0329796969799685E-3</v>
      </c>
      <c r="D92" s="2">
        <v>134.54545454545399</v>
      </c>
      <c r="E92" s="2">
        <v>572</v>
      </c>
      <c r="F92" s="301">
        <v>9.0717333037286085E-3</v>
      </c>
      <c r="G92" s="14">
        <v>136.969696969696</v>
      </c>
      <c r="H92" s="2">
        <v>807</v>
      </c>
      <c r="I92" s="301">
        <v>1.2306519252764011E-2</v>
      </c>
      <c r="J92" s="14">
        <v>208.484848</v>
      </c>
      <c r="K92" s="301">
        <v>0.51407129455909939</v>
      </c>
      <c r="L92" s="2">
        <v>2364</v>
      </c>
      <c r="M92" s="301">
        <v>1.6001299597936888E-2</v>
      </c>
      <c r="N92" s="2">
        <v>233.93939393939399</v>
      </c>
      <c r="O92" s="2">
        <v>2163</v>
      </c>
      <c r="P92" s="301">
        <v>1.4119997127693603E-2</v>
      </c>
      <c r="Q92" s="14">
        <v>270.30303030303003</v>
      </c>
      <c r="R92" s="2">
        <v>2683</v>
      </c>
      <c r="S92" s="301">
        <v>1.7206990540323874E-2</v>
      </c>
      <c r="T92" s="14">
        <v>314.54544099999998</v>
      </c>
      <c r="U92" s="301">
        <v>0.13494077834179358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43589</v>
      </c>
      <c r="C93" s="301">
        <v>0.73872148595058129</v>
      </c>
      <c r="D93" s="2">
        <v>606.66666666666595</v>
      </c>
      <c r="E93" s="2">
        <v>49449</v>
      </c>
      <c r="F93" s="301">
        <v>0.78424500023789512</v>
      </c>
      <c r="G93" s="14">
        <v>603.030303030303</v>
      </c>
      <c r="H93" s="2">
        <v>51319</v>
      </c>
      <c r="I93" s="301">
        <v>0.78260007624857031</v>
      </c>
      <c r="J93" s="14">
        <v>810.30304000000001</v>
      </c>
      <c r="K93" s="301">
        <v>0.17733831930074101</v>
      </c>
      <c r="L93" s="2">
        <v>76719</v>
      </c>
      <c r="M93" s="301">
        <v>0.51929090687568535</v>
      </c>
      <c r="N93" s="2">
        <v>0</v>
      </c>
      <c r="O93" s="2">
        <v>85245</v>
      </c>
      <c r="P93" s="301">
        <v>0.55647672452623265</v>
      </c>
      <c r="Q93" s="14">
        <v>0</v>
      </c>
      <c r="R93" s="2">
        <v>90958</v>
      </c>
      <c r="S93" s="301">
        <v>0.58334455667788998</v>
      </c>
      <c r="T93" s="14">
        <v>0</v>
      </c>
      <c r="U93" s="301">
        <v>0.18559939519545354</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35565</v>
      </c>
      <c r="C94" s="301">
        <v>0.6027353150527065</v>
      </c>
      <c r="D94" s="2">
        <v>926.66666666666595</v>
      </c>
      <c r="E94" s="2">
        <v>40911</v>
      </c>
      <c r="F94" s="301">
        <v>0.64883510697349844</v>
      </c>
      <c r="G94" s="14">
        <v>891.51515151515105</v>
      </c>
      <c r="H94" s="2">
        <v>22438</v>
      </c>
      <c r="I94" s="301">
        <v>0.34217308425467025</v>
      </c>
      <c r="J94" s="14">
        <v>1428.48486</v>
      </c>
      <c r="K94" s="301">
        <v>-0.36909883312245184</v>
      </c>
      <c r="L94" s="2">
        <v>58900</v>
      </c>
      <c r="M94" s="301">
        <v>0.39867874209749693</v>
      </c>
      <c r="N94" s="2">
        <v>1107.87878787878</v>
      </c>
      <c r="O94" s="2">
        <v>69489</v>
      </c>
      <c r="P94" s="301">
        <v>0.45362204364600128</v>
      </c>
      <c r="Q94" s="14">
        <v>1024.2424242424199</v>
      </c>
      <c r="R94" s="2">
        <v>42534</v>
      </c>
      <c r="S94" s="301">
        <v>0.2727849927849928</v>
      </c>
      <c r="T94" s="14">
        <v>1678.1817599999999</v>
      </c>
      <c r="U94" s="301">
        <v>-0.27786078098471989</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1741</v>
      </c>
      <c r="B95" s="2">
        <v>209</v>
      </c>
      <c r="C95" s="301">
        <v>3.5420126766769482E-3</v>
      </c>
      <c r="D95" s="2">
        <v>92.121212121212096</v>
      </c>
      <c r="E95" s="2">
        <v>278</v>
      </c>
      <c r="F95" s="301">
        <v>4.4089892630009677E-3</v>
      </c>
      <c r="G95" s="14">
        <v>93.3333333333333</v>
      </c>
      <c r="H95" s="2">
        <v>67</v>
      </c>
      <c r="I95" s="301">
        <v>1.0217308425467023E-3</v>
      </c>
      <c r="J95" s="14">
        <v>39.393940000000001</v>
      </c>
      <c r="K95" s="301">
        <v>-0.67942583732057416</v>
      </c>
      <c r="L95" s="2">
        <v>336</v>
      </c>
      <c r="M95" s="301">
        <v>2.2742963895544814E-3</v>
      </c>
      <c r="N95" s="2">
        <v>106.666666666666</v>
      </c>
      <c r="O95" s="2">
        <v>372</v>
      </c>
      <c r="P95" s="301">
        <v>2.4284044990762923E-3</v>
      </c>
      <c r="Q95" s="14">
        <v>100</v>
      </c>
      <c r="R95" s="2">
        <v>151</v>
      </c>
      <c r="S95" s="301">
        <v>9.6841430174763503E-4</v>
      </c>
      <c r="T95" s="14">
        <v>66.060609999999997</v>
      </c>
      <c r="U95" s="301">
        <v>-0.55059523809523814</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1742</v>
      </c>
      <c r="B96" s="2">
        <v>436</v>
      </c>
      <c r="C96" s="301">
        <v>7.3890790767040639E-3</v>
      </c>
      <c r="D96" s="2">
        <v>136.363636363636</v>
      </c>
      <c r="E96" s="2">
        <v>201</v>
      </c>
      <c r="F96" s="301">
        <v>3.187794395191347E-3</v>
      </c>
      <c r="G96" s="14">
        <v>92.121212121212096</v>
      </c>
      <c r="H96" s="2">
        <v>512</v>
      </c>
      <c r="I96" s="301">
        <v>7.8078536027449486E-3</v>
      </c>
      <c r="J96" s="14">
        <v>241.21212800000001</v>
      </c>
      <c r="K96" s="301">
        <v>0.1743119266055046</v>
      </c>
      <c r="L96" s="2">
        <v>911</v>
      </c>
      <c r="M96" s="301">
        <v>6.1663214609646811E-3</v>
      </c>
      <c r="N96" s="2">
        <v>270.90909090909003</v>
      </c>
      <c r="O96" s="2">
        <v>710</v>
      </c>
      <c r="P96" s="301">
        <v>4.6348580493122786E-3</v>
      </c>
      <c r="Q96" s="14">
        <v>149.09090909090901</v>
      </c>
      <c r="R96" s="2">
        <v>1057</v>
      </c>
      <c r="S96" s="301">
        <v>6.7789001122334457E-3</v>
      </c>
      <c r="T96" s="14">
        <v>281.21212800000001</v>
      </c>
      <c r="U96" s="301">
        <v>0.16026344676180021</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152</v>
      </c>
      <c r="C97" s="301">
        <v>2.5760092194014169E-3</v>
      </c>
      <c r="D97" s="2">
        <v>87.272727272727195</v>
      </c>
      <c r="E97" s="2">
        <v>199</v>
      </c>
      <c r="F97" s="301">
        <v>3.1560750479755128E-3</v>
      </c>
      <c r="G97" s="14">
        <v>91.515151515151501</v>
      </c>
      <c r="H97" s="2">
        <v>43</v>
      </c>
      <c r="I97" s="301">
        <v>6.5573770491803279E-4</v>
      </c>
      <c r="J97" s="14">
        <v>34.5454559</v>
      </c>
      <c r="K97" s="301">
        <v>-0.71710526315789469</v>
      </c>
      <c r="L97" s="2">
        <v>223</v>
      </c>
      <c r="M97" s="301">
        <v>1.5094288537816946E-3</v>
      </c>
      <c r="N97" s="2">
        <v>100.60606060606</v>
      </c>
      <c r="O97" s="2">
        <v>225</v>
      </c>
      <c r="P97" s="301">
        <v>1.4687930437961446E-3</v>
      </c>
      <c r="Q97" s="14">
        <v>92.121212121212096</v>
      </c>
      <c r="R97" s="2">
        <v>196</v>
      </c>
      <c r="S97" s="301">
        <v>1.2570145903479236E-3</v>
      </c>
      <c r="T97" s="14">
        <v>89.696969999999993</v>
      </c>
      <c r="U97" s="301">
        <v>-0.1210762331838565</v>
      </c>
      <c r="V97" s="2">
        <v>63424</v>
      </c>
      <c r="W97" s="27">
        <v>2E-3</v>
      </c>
      <c r="X97" s="2">
        <v>1887</v>
      </c>
      <c r="Y97" s="2">
        <v>69430</v>
      </c>
      <c r="Z97" s="27">
        <v>2E-3</v>
      </c>
      <c r="AA97" s="14">
        <v>1903.64</v>
      </c>
      <c r="AB97" s="2">
        <v>90329</v>
      </c>
      <c r="AC97" s="27">
        <v>2E-3</v>
      </c>
      <c r="AD97" s="14">
        <v>2323.64</v>
      </c>
      <c r="AE97" s="27">
        <v>0.42399999999999999</v>
      </c>
    </row>
    <row r="98" spans="1:31" x14ac:dyDescent="0.3">
      <c r="A98" t="s">
        <v>1743</v>
      </c>
      <c r="B98" s="2">
        <v>0</v>
      </c>
      <c r="C98" s="301">
        <v>0</v>
      </c>
      <c r="D98" s="2">
        <v>80</v>
      </c>
      <c r="E98" s="2">
        <v>33</v>
      </c>
      <c r="F98" s="301">
        <v>5.2336922906126592E-4</v>
      </c>
      <c r="G98" s="14">
        <v>30.909090909090899</v>
      </c>
      <c r="H98" s="2">
        <v>0</v>
      </c>
      <c r="I98" s="301">
        <v>0</v>
      </c>
      <c r="J98" s="14">
        <v>18.787877999999999</v>
      </c>
      <c r="L98" s="2">
        <v>0</v>
      </c>
      <c r="M98" s="301">
        <v>0</v>
      </c>
      <c r="N98" s="2">
        <v>80</v>
      </c>
      <c r="O98" s="2">
        <v>51</v>
      </c>
      <c r="P98" s="301">
        <v>3.3292642326045944E-4</v>
      </c>
      <c r="Q98" s="14">
        <v>35.151515151515099</v>
      </c>
      <c r="R98" s="2">
        <v>32</v>
      </c>
      <c r="S98" s="301">
        <v>2.0522687189353857E-4</v>
      </c>
      <c r="T98" s="14">
        <v>30.30303</v>
      </c>
      <c r="V98" s="2">
        <v>8924</v>
      </c>
      <c r="W98" s="27">
        <v>0</v>
      </c>
      <c r="X98" s="2">
        <v>710</v>
      </c>
      <c r="Y98" s="2">
        <v>11361</v>
      </c>
      <c r="Z98" s="27">
        <v>0</v>
      </c>
      <c r="AA98" s="14">
        <v>700</v>
      </c>
      <c r="AB98" s="2">
        <v>14112</v>
      </c>
      <c r="AC98" s="27">
        <v>0</v>
      </c>
      <c r="AD98" s="14">
        <v>786.67</v>
      </c>
      <c r="AE98" s="27">
        <v>0.58099999999999996</v>
      </c>
    </row>
    <row r="99" spans="1:31" x14ac:dyDescent="0.3">
      <c r="A99" t="s">
        <v>238</v>
      </c>
      <c r="B99" s="2">
        <v>6356</v>
      </c>
      <c r="C99" s="301">
        <v>0.10771785920075924</v>
      </c>
      <c r="D99" s="2">
        <v>580</v>
      </c>
      <c r="E99" s="2">
        <v>6316</v>
      </c>
      <c r="F99" s="301">
        <v>0.10016969850760471</v>
      </c>
      <c r="G99" s="14">
        <v>735.15151515151501</v>
      </c>
      <c r="H99" s="2">
        <v>23537</v>
      </c>
      <c r="I99" s="301">
        <v>0.35893252001524972</v>
      </c>
      <c r="J99" s="14">
        <v>1524.24243</v>
      </c>
      <c r="K99" s="301">
        <v>2.7031151667715543</v>
      </c>
      <c r="L99" s="2">
        <v>13427</v>
      </c>
      <c r="M99" s="301">
        <v>9.0883861971869123E-2</v>
      </c>
      <c r="N99" s="2">
        <v>1034.54545454545</v>
      </c>
      <c r="O99" s="2">
        <v>11837</v>
      </c>
      <c r="P99" s="301">
        <v>7.7271570041844276E-2</v>
      </c>
      <c r="Q99" s="14">
        <v>881.21212121212102</v>
      </c>
      <c r="R99" s="2">
        <v>38166</v>
      </c>
      <c r="S99" s="301">
        <v>0.24477152477152478</v>
      </c>
      <c r="T99" s="14">
        <v>1877.57581</v>
      </c>
      <c r="U99" s="301">
        <v>1.8424815669918819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1744</v>
      </c>
      <c r="B100" s="2">
        <v>871</v>
      </c>
      <c r="C100" s="301">
        <v>1.4761210724333118E-2</v>
      </c>
      <c r="D100" s="2">
        <v>274.54545454545399</v>
      </c>
      <c r="E100" s="2">
        <v>1511</v>
      </c>
      <c r="F100" s="301">
        <v>2.3963966821562811E-2</v>
      </c>
      <c r="G100" s="14">
        <v>331.51515151515099</v>
      </c>
      <c r="H100" s="2">
        <v>4722</v>
      </c>
      <c r="I100" s="301">
        <v>7.2009149828440713E-2</v>
      </c>
      <c r="J100" s="14">
        <v>948.48486300000002</v>
      </c>
      <c r="K100" s="301">
        <v>4.4213547646383464</v>
      </c>
      <c r="L100" s="2">
        <v>2922</v>
      </c>
      <c r="M100" s="301">
        <v>1.9778256102018436E-2</v>
      </c>
      <c r="N100" s="2">
        <v>511.51515151515099</v>
      </c>
      <c r="O100" s="2">
        <v>2561</v>
      </c>
      <c r="P100" s="301">
        <v>1.6718128822941894E-2</v>
      </c>
      <c r="Q100" s="14">
        <v>397.575757575757</v>
      </c>
      <c r="R100" s="2">
        <v>8822</v>
      </c>
      <c r="S100" s="301">
        <v>5.6578483245149913E-2</v>
      </c>
      <c r="T100" s="14">
        <v>1021.2121</v>
      </c>
      <c r="U100" s="301">
        <v>2.0191649555099249</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424</v>
      </c>
      <c r="C101" s="301">
        <v>7.1857099278039519E-3</v>
      </c>
      <c r="D101" s="2">
        <v>115.757575757575</v>
      </c>
      <c r="E101" s="2">
        <v>962</v>
      </c>
      <c r="F101" s="301">
        <v>1.5257006010816298E-2</v>
      </c>
      <c r="G101" s="14">
        <v>260</v>
      </c>
      <c r="H101" s="2">
        <v>3805</v>
      </c>
      <c r="I101" s="301">
        <v>5.8025162028211973E-2</v>
      </c>
      <c r="J101" s="14">
        <v>924.84849999999994</v>
      </c>
      <c r="K101" s="301">
        <v>7.9740566037735849</v>
      </c>
      <c r="L101" s="2">
        <v>1769</v>
      </c>
      <c r="M101" s="301">
        <v>1.197389974143416E-2</v>
      </c>
      <c r="N101" s="2">
        <v>285.45454545454498</v>
      </c>
      <c r="O101" s="2">
        <v>1740</v>
      </c>
      <c r="P101" s="301">
        <v>1.1358666205356851E-2</v>
      </c>
      <c r="Q101" s="14">
        <v>307.27272727272702</v>
      </c>
      <c r="R101" s="2">
        <v>6650</v>
      </c>
      <c r="S101" s="301">
        <v>4.2648709315375982E-2</v>
      </c>
      <c r="T101" s="14">
        <v>995.15150000000006</v>
      </c>
      <c r="U101" s="301">
        <v>2.7591859807801016</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1745</v>
      </c>
      <c r="B102" s="2">
        <v>447</v>
      </c>
      <c r="C102" s="301">
        <v>7.5755007965291662E-3</v>
      </c>
      <c r="D102" s="2">
        <v>245.45454545454501</v>
      </c>
      <c r="E102" s="2">
        <v>549</v>
      </c>
      <c r="F102" s="301">
        <v>8.7069608107465148E-3</v>
      </c>
      <c r="G102" s="14">
        <v>219.39393939393901</v>
      </c>
      <c r="H102" s="2">
        <v>917</v>
      </c>
      <c r="I102" s="301">
        <v>1.3983987800228746E-2</v>
      </c>
      <c r="J102" s="14">
        <v>289.09089999999998</v>
      </c>
      <c r="K102" s="301">
        <v>1.051454138702461</v>
      </c>
      <c r="L102" s="2">
        <v>1153</v>
      </c>
      <c r="M102" s="301">
        <v>7.8043563605842779E-3</v>
      </c>
      <c r="N102" s="2">
        <v>358.78787878787801</v>
      </c>
      <c r="O102" s="2">
        <v>821</v>
      </c>
      <c r="P102" s="301">
        <v>5.3594626175850427E-3</v>
      </c>
      <c r="Q102" s="14">
        <v>233.333333333333</v>
      </c>
      <c r="R102" s="2">
        <v>2172</v>
      </c>
      <c r="S102" s="301">
        <v>1.3929773929773929E-2</v>
      </c>
      <c r="T102" s="14">
        <v>443.63635299999999</v>
      </c>
      <c r="U102" s="301">
        <v>0.88378143972246315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1746</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1706</v>
      </c>
      <c r="C105" s="304"/>
      <c r="D105" s="304" t="s">
        <v>1707</v>
      </c>
      <c r="E105" s="304" t="s">
        <v>1706</v>
      </c>
      <c r="F105" s="304"/>
      <c r="G105" s="304" t="s">
        <v>1707</v>
      </c>
      <c r="H105" s="304" t="s">
        <v>1706</v>
      </c>
      <c r="I105" s="304"/>
      <c r="J105" s="304" t="s">
        <v>1707</v>
      </c>
      <c r="K105" t="s">
        <v>172</v>
      </c>
      <c r="L105" s="304" t="s">
        <v>1706</v>
      </c>
      <c r="M105" s="304"/>
      <c r="N105" s="304" t="s">
        <v>1707</v>
      </c>
      <c r="O105" s="304" t="s">
        <v>1706</v>
      </c>
      <c r="P105" s="304"/>
      <c r="Q105" s="304" t="s">
        <v>1707</v>
      </c>
      <c r="R105" s="304" t="s">
        <v>1706</v>
      </c>
      <c r="S105" s="304"/>
      <c r="T105" s="304" t="s">
        <v>1707</v>
      </c>
      <c r="U105" t="s">
        <v>172</v>
      </c>
      <c r="V105" s="207" t="s">
        <v>1706</v>
      </c>
      <c r="W105" s="207"/>
      <c r="X105" s="207" t="s">
        <v>1707</v>
      </c>
      <c r="Y105" s="207" t="s">
        <v>1706</v>
      </c>
      <c r="Z105" s="207"/>
      <c r="AA105" s="207" t="s">
        <v>1707</v>
      </c>
      <c r="AB105" s="207" t="s">
        <v>1706</v>
      </c>
      <c r="AC105" s="207"/>
      <c r="AD105" s="207" t="s">
        <v>1707</v>
      </c>
      <c r="AE105" t="s">
        <v>172</v>
      </c>
    </row>
    <row r="106" spans="1:31" x14ac:dyDescent="0.3">
      <c r="A106" t="s">
        <v>174</v>
      </c>
      <c r="B106" s="2">
        <v>18221</v>
      </c>
      <c r="C106" t="s">
        <v>172</v>
      </c>
      <c r="D106" s="2">
        <v>563.030303030303</v>
      </c>
      <c r="E106" s="2">
        <v>18525</v>
      </c>
      <c r="F106" t="s">
        <v>172</v>
      </c>
      <c r="G106" s="14">
        <v>604.84848484848396</v>
      </c>
      <c r="H106" s="2">
        <v>24293</v>
      </c>
      <c r="I106" t="s">
        <v>172</v>
      </c>
      <c r="J106" s="14">
        <v>674.54549999999995</v>
      </c>
      <c r="K106" s="301">
        <v>0.33324186378354648</v>
      </c>
      <c r="L106" s="2">
        <v>46267</v>
      </c>
      <c r="M106" t="s">
        <v>172</v>
      </c>
      <c r="N106" s="2">
        <v>807.87878787878799</v>
      </c>
      <c r="O106" s="2">
        <v>44208</v>
      </c>
      <c r="P106" t="s">
        <v>172</v>
      </c>
      <c r="Q106" s="14">
        <v>995.75757575757598</v>
      </c>
      <c r="R106" s="2">
        <v>56457</v>
      </c>
      <c r="S106" t="s">
        <v>172</v>
      </c>
      <c r="T106" s="14">
        <v>847.87879999999996</v>
      </c>
      <c r="U106" s="301">
        <v>0.22024337000453886</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1747</v>
      </c>
      <c r="B107" s="2">
        <v>16691</v>
      </c>
      <c r="C107" s="301">
        <v>0.91603095329564788</v>
      </c>
      <c r="D107" s="2">
        <v>564.24242424242402</v>
      </c>
      <c r="E107" s="2">
        <v>16614</v>
      </c>
      <c r="F107" s="301">
        <v>0.89684210526315788</v>
      </c>
      <c r="G107" s="14">
        <v>586.66666666666595</v>
      </c>
      <c r="H107" s="2">
        <v>21568</v>
      </c>
      <c r="I107" s="301">
        <v>0.88782776931626395</v>
      </c>
      <c r="J107" s="14">
        <v>713.93939999999998</v>
      </c>
      <c r="K107" s="301">
        <v>0.29219339763944641</v>
      </c>
      <c r="L107" s="2">
        <v>41765</v>
      </c>
      <c r="M107" s="301">
        <v>0.90269522553872095</v>
      </c>
      <c r="N107" s="2">
        <v>781.81818181818198</v>
      </c>
      <c r="O107" s="2">
        <v>39900</v>
      </c>
      <c r="P107" s="301">
        <v>0.90255157437567857</v>
      </c>
      <c r="Q107" s="14">
        <v>950.90909090909099</v>
      </c>
      <c r="R107" s="2">
        <v>50054</v>
      </c>
      <c r="S107" s="301">
        <v>0.88658625148342984</v>
      </c>
      <c r="T107" s="14">
        <v>827.27269999999999</v>
      </c>
      <c r="U107" s="301">
        <v>0.19846761642523644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1748</v>
      </c>
      <c r="B108" s="2">
        <v>12810</v>
      </c>
      <c r="C108" s="301">
        <v>0.70303495966192853</v>
      </c>
      <c r="D108" s="2">
        <v>455.75757575757501</v>
      </c>
      <c r="E108" s="2">
        <v>13363</v>
      </c>
      <c r="F108" s="301">
        <v>0.72134952766531713</v>
      </c>
      <c r="G108" s="14">
        <v>500.60606060606</v>
      </c>
      <c r="H108" s="2">
        <v>17438</v>
      </c>
      <c r="I108" s="301">
        <v>0.71781994813320704</v>
      </c>
      <c r="J108" s="14">
        <v>660.60609999999997</v>
      </c>
      <c r="K108" s="301">
        <v>0.36128024980483997</v>
      </c>
      <c r="L108" s="2">
        <v>34258</v>
      </c>
      <c r="M108" s="301">
        <v>0.74044135128709443</v>
      </c>
      <c r="N108" s="2">
        <v>727.27272727272702</v>
      </c>
      <c r="O108" s="2">
        <v>34065</v>
      </c>
      <c r="P108" s="301">
        <v>0.77056188925081437</v>
      </c>
      <c r="Q108" s="14">
        <v>827.27272727272702</v>
      </c>
      <c r="R108" s="2">
        <v>42154</v>
      </c>
      <c r="S108" s="301">
        <v>0.74665674761322776</v>
      </c>
      <c r="T108" s="14">
        <v>861.81820000000005</v>
      </c>
      <c r="U108" s="301">
        <v>0.23048630976706172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1749</v>
      </c>
      <c r="B109" s="2">
        <v>3881</v>
      </c>
      <c r="C109" s="301">
        <v>0.21299599363371932</v>
      </c>
      <c r="D109" s="2">
        <v>418.78787878787801</v>
      </c>
      <c r="E109" s="2">
        <v>3251</v>
      </c>
      <c r="F109" s="301">
        <v>0.17549257759784076</v>
      </c>
      <c r="G109" s="14">
        <v>307.87878787878702</v>
      </c>
      <c r="H109" s="2">
        <v>4130</v>
      </c>
      <c r="I109" s="301">
        <v>0.17000782118305685</v>
      </c>
      <c r="J109" s="14">
        <v>479.39395100000002</v>
      </c>
      <c r="K109" s="301">
        <v>6.415872197887143E-2</v>
      </c>
      <c r="L109" s="2">
        <v>7507</v>
      </c>
      <c r="M109" s="301">
        <v>0.16225387425162643</v>
      </c>
      <c r="N109" s="2">
        <v>468.48484848484799</v>
      </c>
      <c r="O109" s="2">
        <v>5835</v>
      </c>
      <c r="P109" s="301">
        <v>0.13198968512486428</v>
      </c>
      <c r="Q109" s="14">
        <v>436.36363636363598</v>
      </c>
      <c r="R109" s="2">
        <v>7900</v>
      </c>
      <c r="S109" s="301">
        <v>0.13992950387020209</v>
      </c>
      <c r="T109" s="14">
        <v>610.90909999999997</v>
      </c>
      <c r="U109" s="301">
        <v>5.2351138936992142E-2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1490</v>
      </c>
      <c r="B110" s="2">
        <v>1537</v>
      </c>
      <c r="C110" s="301">
        <v>8.4353218813457004E-2</v>
      </c>
      <c r="D110" s="2">
        <v>226.666666666666</v>
      </c>
      <c r="E110" s="2">
        <v>1402</v>
      </c>
      <c r="F110" s="301">
        <v>7.5681511470985161E-2</v>
      </c>
      <c r="G110" s="14">
        <v>203.030303030303</v>
      </c>
      <c r="H110" s="2">
        <v>2153</v>
      </c>
      <c r="I110" s="301">
        <v>8.8626353270489441E-2</v>
      </c>
      <c r="J110" s="14">
        <v>261.81817599999999</v>
      </c>
      <c r="K110" s="301">
        <v>0.40078074170461941</v>
      </c>
      <c r="L110" s="2">
        <v>4260</v>
      </c>
      <c r="M110" s="301">
        <v>9.2074264594635483E-2</v>
      </c>
      <c r="N110" s="2">
        <v>294.54545454545399</v>
      </c>
      <c r="O110" s="2">
        <v>3554</v>
      </c>
      <c r="P110" s="301">
        <v>8.0392689106044149E-2</v>
      </c>
      <c r="Q110" s="14">
        <v>329.69696969696901</v>
      </c>
      <c r="R110" s="2">
        <v>5122</v>
      </c>
      <c r="S110" s="301">
        <v>9.0723913775085457E-2</v>
      </c>
      <c r="T110" s="14">
        <v>435.75756799999999</v>
      </c>
      <c r="U110" s="301">
        <v>0.20234741784037558</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1491</v>
      </c>
      <c r="B111" s="2">
        <v>368</v>
      </c>
      <c r="C111" s="301">
        <v>2.0196476592942211E-2</v>
      </c>
      <c r="D111" s="2">
        <v>87.878787878787904</v>
      </c>
      <c r="E111" s="2">
        <v>498</v>
      </c>
      <c r="F111" s="301">
        <v>2.688259109311741E-2</v>
      </c>
      <c r="G111" s="14">
        <v>95.151515151515099</v>
      </c>
      <c r="H111" s="2">
        <v>778</v>
      </c>
      <c r="I111" s="301">
        <v>3.2025686411723542E-2</v>
      </c>
      <c r="J111" s="14">
        <v>195.75756799999999</v>
      </c>
      <c r="K111" s="301">
        <v>1.1141304347826086</v>
      </c>
      <c r="L111" s="2">
        <v>868</v>
      </c>
      <c r="M111" s="301">
        <v>1.8760671753085354E-2</v>
      </c>
      <c r="N111" s="2">
        <v>183.030303030303</v>
      </c>
      <c r="O111" s="2">
        <v>682</v>
      </c>
      <c r="P111" s="301">
        <v>1.5427072023163228E-2</v>
      </c>
      <c r="Q111" s="14">
        <v>123.030303030303</v>
      </c>
      <c r="R111" s="2">
        <v>1290</v>
      </c>
      <c r="S111" s="301">
        <v>2.284924810032414E-2</v>
      </c>
      <c r="T111" s="14">
        <v>244.84848</v>
      </c>
      <c r="U111" s="301">
        <v>0.48617511520737328</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1492</v>
      </c>
      <c r="B112" s="2">
        <v>392</v>
      </c>
      <c r="C112" s="301">
        <v>2.1513638109873223E-2</v>
      </c>
      <c r="D112" s="2">
        <v>154.54545454545399</v>
      </c>
      <c r="E112" s="2">
        <v>426</v>
      </c>
      <c r="F112" s="301">
        <v>2.299595141700405E-2</v>
      </c>
      <c r="G112" s="14">
        <v>153.939393939393</v>
      </c>
      <c r="H112" s="2">
        <v>560</v>
      </c>
      <c r="I112" s="301">
        <v>2.3051907957024657E-2</v>
      </c>
      <c r="J112" s="14">
        <v>208.484848</v>
      </c>
      <c r="K112" s="301">
        <v>0.42857142857142855</v>
      </c>
      <c r="L112" s="2">
        <v>623</v>
      </c>
      <c r="M112" s="301">
        <v>1.3465320855037068E-2</v>
      </c>
      <c r="N112" s="2">
        <v>144.24242424242399</v>
      </c>
      <c r="O112" s="2">
        <v>540</v>
      </c>
      <c r="P112" s="301">
        <v>1.2214983713355049E-2</v>
      </c>
      <c r="Q112" s="14">
        <v>163.636363636363</v>
      </c>
      <c r="R112" s="2">
        <v>726</v>
      </c>
      <c r="S112" s="301">
        <v>1.2859344279717307E-2</v>
      </c>
      <c r="T112" s="14">
        <v>221.81817599999999</v>
      </c>
      <c r="U112" s="301">
        <v>0.1653290529695024</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1750</v>
      </c>
      <c r="B113" s="2">
        <v>1076</v>
      </c>
      <c r="C113" s="301">
        <v>5.9052741342407115E-2</v>
      </c>
      <c r="D113" s="2">
        <v>267.27272727272702</v>
      </c>
      <c r="E113" s="2">
        <v>581</v>
      </c>
      <c r="F113" s="301">
        <v>3.1363022941970312E-2</v>
      </c>
      <c r="G113" s="14">
        <v>180.60606060606</v>
      </c>
      <c r="H113" s="2">
        <v>456</v>
      </c>
      <c r="I113" s="301">
        <v>1.8770839336434364E-2</v>
      </c>
      <c r="J113" s="14">
        <v>197.57576</v>
      </c>
      <c r="K113" s="301">
        <v>-0.57620817843866168</v>
      </c>
      <c r="L113" s="2">
        <v>1166</v>
      </c>
      <c r="M113" s="301">
        <v>2.5201547539282859E-2</v>
      </c>
      <c r="N113" s="2">
        <v>265.45454545454498</v>
      </c>
      <c r="O113" s="2">
        <v>649</v>
      </c>
      <c r="P113" s="301">
        <v>1.4680600796235975E-2</v>
      </c>
      <c r="Q113" s="14">
        <v>188.48484848484799</v>
      </c>
      <c r="R113" s="2">
        <v>570</v>
      </c>
      <c r="S113" s="301">
        <v>1.0096179393166481E-2</v>
      </c>
      <c r="T113" s="14">
        <v>204.24243200000001</v>
      </c>
      <c r="U113" s="301">
        <v>-0.51114922813036023</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1751</v>
      </c>
      <c r="B114" s="2">
        <v>508</v>
      </c>
      <c r="C114" s="301">
        <v>2.7879918775039789E-2</v>
      </c>
      <c r="D114" s="2">
        <v>143.636363636363</v>
      </c>
      <c r="E114" s="2">
        <v>344</v>
      </c>
      <c r="F114" s="301">
        <v>1.8569500674763834E-2</v>
      </c>
      <c r="G114" s="14">
        <v>125.454545454545</v>
      </c>
      <c r="H114" s="2">
        <v>183</v>
      </c>
      <c r="I114" s="301">
        <v>7.5330342073848438E-3</v>
      </c>
      <c r="J114" s="14">
        <v>70.909090000000006</v>
      </c>
      <c r="K114" s="301">
        <v>-0.63976377952755903</v>
      </c>
      <c r="L114" s="2">
        <v>590</v>
      </c>
      <c r="M114" s="301">
        <v>1.2752069509585667E-2</v>
      </c>
      <c r="N114" s="2">
        <v>156.363636363636</v>
      </c>
      <c r="O114" s="2">
        <v>410</v>
      </c>
      <c r="P114" s="301">
        <v>9.2743394860658711E-3</v>
      </c>
      <c r="Q114" s="14">
        <v>130.30303030303</v>
      </c>
      <c r="R114" s="2">
        <v>192</v>
      </c>
      <c r="S114" s="301">
        <v>3.4008183219087092E-3</v>
      </c>
      <c r="T114" s="14">
        <v>71.515150000000006</v>
      </c>
      <c r="U114" s="301">
        <v>-0.6745762711864407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1752</v>
      </c>
      <c r="B115" s="2">
        <v>36</v>
      </c>
      <c r="C115" s="301">
        <v>1.9757422753965206E-3</v>
      </c>
      <c r="D115" s="2">
        <v>18.7878787878787</v>
      </c>
      <c r="E115" s="2">
        <v>131</v>
      </c>
      <c r="F115" s="301">
        <v>7.0715249662618085E-3</v>
      </c>
      <c r="G115" s="14">
        <v>46.060606060605998</v>
      </c>
      <c r="H115" s="2">
        <v>167</v>
      </c>
      <c r="I115" s="301">
        <v>6.8744082657555671E-3</v>
      </c>
      <c r="J115" s="14">
        <v>73.939390000000003</v>
      </c>
      <c r="K115" s="301">
        <v>3.6388888888888888</v>
      </c>
      <c r="L115" s="2">
        <v>89</v>
      </c>
      <c r="M115" s="301">
        <v>1.9236172650052953E-3</v>
      </c>
      <c r="N115" s="2">
        <v>54.545454545454497</v>
      </c>
      <c r="O115" s="2">
        <v>153</v>
      </c>
      <c r="P115" s="301">
        <v>3.4609120521172636E-3</v>
      </c>
      <c r="Q115" s="14">
        <v>49.696969696969703</v>
      </c>
      <c r="R115" s="2">
        <v>224</v>
      </c>
      <c r="S115" s="301">
        <v>3.9676213755601613E-3</v>
      </c>
      <c r="T115" s="14">
        <v>78.787880000000001</v>
      </c>
      <c r="U115" s="301">
        <v>1.5168539325842696</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1753</v>
      </c>
      <c r="B116" s="2">
        <v>36</v>
      </c>
      <c r="C116" s="301">
        <v>1.9757422753965206E-3</v>
      </c>
      <c r="D116" s="2">
        <v>18.7878787878787</v>
      </c>
      <c r="E116" s="2">
        <v>113</v>
      </c>
      <c r="F116" s="301">
        <v>6.0998650472334683E-3</v>
      </c>
      <c r="G116" s="14">
        <v>44.2424242424242</v>
      </c>
      <c r="H116" s="2">
        <v>156</v>
      </c>
      <c r="I116" s="301">
        <v>6.4216029308854401E-3</v>
      </c>
      <c r="J116" s="14">
        <v>73.333335899999994</v>
      </c>
      <c r="K116" s="301">
        <v>3.3333333333333335</v>
      </c>
      <c r="L116" s="2">
        <v>89</v>
      </c>
      <c r="M116" s="301">
        <v>1.9236172650052953E-3</v>
      </c>
      <c r="N116" s="2">
        <v>54.545454545454497</v>
      </c>
      <c r="O116" s="2">
        <v>135</v>
      </c>
      <c r="P116" s="301">
        <v>3.0537459283387623E-3</v>
      </c>
      <c r="Q116" s="14">
        <v>47.272727272727202</v>
      </c>
      <c r="R116" s="2">
        <v>170</v>
      </c>
      <c r="S116" s="301">
        <v>3.0111412225233363E-3</v>
      </c>
      <c r="T116" s="14">
        <v>70.909090000000006</v>
      </c>
      <c r="U116" s="301">
        <v>0.9101123595505618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1754</v>
      </c>
      <c r="B117" s="2">
        <v>0</v>
      </c>
      <c r="C117" s="301">
        <v>0</v>
      </c>
      <c r="D117" s="2">
        <v>80</v>
      </c>
      <c r="E117" s="2">
        <v>0</v>
      </c>
      <c r="F117" s="301">
        <v>0</v>
      </c>
      <c r="G117" s="14">
        <v>16.969696969696901</v>
      </c>
      <c r="H117" s="2">
        <v>11</v>
      </c>
      <c r="I117" s="301">
        <v>4.528053348701272E-4</v>
      </c>
      <c r="J117" s="14">
        <v>14.545455</v>
      </c>
      <c r="L117" s="2">
        <v>0</v>
      </c>
      <c r="M117" s="301">
        <v>0</v>
      </c>
      <c r="N117" s="2">
        <v>80</v>
      </c>
      <c r="O117" s="2">
        <v>0</v>
      </c>
      <c r="P117" s="301">
        <v>0</v>
      </c>
      <c r="Q117" s="14">
        <v>16.969696969696901</v>
      </c>
      <c r="R117" s="2">
        <v>11</v>
      </c>
      <c r="S117" s="301">
        <v>1.9483854969268646E-4</v>
      </c>
      <c r="T117" s="14">
        <v>14.545455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1755</v>
      </c>
      <c r="B118" s="2">
        <v>0</v>
      </c>
      <c r="C118" s="301">
        <v>0</v>
      </c>
      <c r="D118" s="2">
        <v>80</v>
      </c>
      <c r="E118" s="2">
        <v>18</v>
      </c>
      <c r="F118" s="301">
        <v>9.7165991902834013E-4</v>
      </c>
      <c r="G118" s="14">
        <v>17.5757575757575</v>
      </c>
      <c r="H118" s="2">
        <v>0</v>
      </c>
      <c r="I118" s="301">
        <v>0</v>
      </c>
      <c r="J118" s="14">
        <v>18.787877999999999</v>
      </c>
      <c r="L118" s="2">
        <v>0</v>
      </c>
      <c r="M118" s="301">
        <v>0</v>
      </c>
      <c r="N118" s="2">
        <v>80</v>
      </c>
      <c r="O118" s="2">
        <v>18</v>
      </c>
      <c r="P118" s="301">
        <v>4.0716612377850165E-4</v>
      </c>
      <c r="Q118" s="14">
        <v>17.5757575757575</v>
      </c>
      <c r="R118" s="2">
        <v>0</v>
      </c>
      <c r="S118" s="301">
        <v>0</v>
      </c>
      <c r="T118" s="14">
        <v>18.787877999999999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1756</v>
      </c>
      <c r="B119" s="2">
        <v>0</v>
      </c>
      <c r="C119" s="301">
        <v>0</v>
      </c>
      <c r="D119" s="2">
        <v>80</v>
      </c>
      <c r="E119" s="2">
        <v>0</v>
      </c>
      <c r="F119" s="301">
        <v>0</v>
      </c>
      <c r="G119" s="14">
        <v>16.969696969696901</v>
      </c>
      <c r="H119" s="2">
        <v>0</v>
      </c>
      <c r="I119" s="301">
        <v>0</v>
      </c>
      <c r="J119" s="14">
        <v>18.787877999999999</v>
      </c>
      <c r="L119" s="2">
        <v>0</v>
      </c>
      <c r="M119" s="301">
        <v>0</v>
      </c>
      <c r="N119" s="2">
        <v>80</v>
      </c>
      <c r="O119" s="2">
        <v>0</v>
      </c>
      <c r="P119" s="301">
        <v>0</v>
      </c>
      <c r="Q119" s="14">
        <v>16.969696969696901</v>
      </c>
      <c r="R119" s="2">
        <v>8</v>
      </c>
      <c r="S119" s="301">
        <v>1.4170076341286288E-4</v>
      </c>
      <c r="T119" s="14">
        <v>7.8787880000000001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1500</v>
      </c>
      <c r="B120" s="2">
        <v>0</v>
      </c>
      <c r="C120" s="301">
        <v>0</v>
      </c>
      <c r="D120" s="2">
        <v>80</v>
      </c>
      <c r="E120" s="2">
        <v>0</v>
      </c>
      <c r="F120" s="301">
        <v>0</v>
      </c>
      <c r="G120" s="14">
        <v>16.969696969696901</v>
      </c>
      <c r="H120" s="2">
        <v>0</v>
      </c>
      <c r="I120" s="301">
        <v>0</v>
      </c>
      <c r="J120" s="14">
        <v>18.787877999999999</v>
      </c>
      <c r="L120" s="2">
        <v>0</v>
      </c>
      <c r="M120" s="301">
        <v>0</v>
      </c>
      <c r="N120" s="2">
        <v>80</v>
      </c>
      <c r="O120" s="2">
        <v>0</v>
      </c>
      <c r="P120" s="301">
        <v>0</v>
      </c>
      <c r="Q120" s="14">
        <v>16.969696969696901</v>
      </c>
      <c r="R120" s="2">
        <v>35</v>
      </c>
      <c r="S120" s="301">
        <v>6.1994083993127517E-4</v>
      </c>
      <c r="T120" s="14">
        <v>36.363636</v>
      </c>
      <c r="V120" s="2">
        <v>5452</v>
      </c>
      <c r="W120" s="27">
        <v>0</v>
      </c>
      <c r="X120" s="2">
        <v>285</v>
      </c>
      <c r="Y120" s="2">
        <v>8640</v>
      </c>
      <c r="Z120" s="27">
        <v>1E-3</v>
      </c>
      <c r="AA120" s="14">
        <v>428.48</v>
      </c>
      <c r="AB120" s="2">
        <v>12155</v>
      </c>
      <c r="AC120" s="27">
        <v>1E-3</v>
      </c>
      <c r="AD120" s="14">
        <v>453.33</v>
      </c>
      <c r="AE120" s="27">
        <v>1.2290000000000001</v>
      </c>
    </row>
    <row r="121" spans="1:31" x14ac:dyDescent="0.3">
      <c r="A121" t="s">
        <v>1501</v>
      </c>
      <c r="B121" s="2">
        <v>0</v>
      </c>
      <c r="C121" s="301">
        <v>0</v>
      </c>
      <c r="D121" s="2">
        <v>80</v>
      </c>
      <c r="E121" s="2">
        <v>0</v>
      </c>
      <c r="F121" s="301">
        <v>0</v>
      </c>
      <c r="G121" s="14">
        <v>16.969696969696901</v>
      </c>
      <c r="H121" s="2">
        <v>0</v>
      </c>
      <c r="I121" s="301">
        <v>0</v>
      </c>
      <c r="J121" s="14">
        <v>18.787877999999999</v>
      </c>
      <c r="L121" s="2">
        <v>0</v>
      </c>
      <c r="M121" s="301">
        <v>0</v>
      </c>
      <c r="N121" s="2">
        <v>80</v>
      </c>
      <c r="O121" s="2">
        <v>0</v>
      </c>
      <c r="P121" s="301">
        <v>0</v>
      </c>
      <c r="Q121" s="14">
        <v>16.969696969696901</v>
      </c>
      <c r="R121" s="2">
        <v>0</v>
      </c>
      <c r="S121" s="301">
        <v>0</v>
      </c>
      <c r="T121" s="14">
        <v>18.787877999999999</v>
      </c>
      <c r="V121" s="2">
        <v>7341</v>
      </c>
      <c r="W121" s="27">
        <v>0</v>
      </c>
      <c r="X121" s="2">
        <v>407</v>
      </c>
      <c r="Y121" s="2">
        <v>9086</v>
      </c>
      <c r="Z121" s="27">
        <v>1E-3</v>
      </c>
      <c r="AA121" s="14">
        <v>405.45</v>
      </c>
      <c r="AB121" s="2">
        <v>36638</v>
      </c>
      <c r="AC121" s="27">
        <v>2E-3</v>
      </c>
      <c r="AD121" s="14">
        <v>947.88</v>
      </c>
      <c r="AE121" s="27">
        <v>3.9910000000000001</v>
      </c>
    </row>
    <row r="122" spans="1:31" x14ac:dyDescent="0.3">
      <c r="A122" t="s">
        <v>1502</v>
      </c>
      <c r="B122" s="2">
        <v>26</v>
      </c>
      <c r="C122" s="301">
        <v>1.4269249766752647E-3</v>
      </c>
      <c r="D122" s="2">
        <v>18.181818181818102</v>
      </c>
      <c r="E122" s="2">
        <v>37</v>
      </c>
      <c r="F122" s="301">
        <v>1.9973009446693658E-3</v>
      </c>
      <c r="G122" s="14">
        <v>32.727272727272698</v>
      </c>
      <c r="H122" s="2">
        <v>0</v>
      </c>
      <c r="I122" s="301">
        <v>0</v>
      </c>
      <c r="J122" s="14">
        <v>18.787877999999999</v>
      </c>
      <c r="K122" s="301">
        <v>-1</v>
      </c>
      <c r="L122" s="2">
        <v>101</v>
      </c>
      <c r="M122" s="301">
        <v>2.1829813906239868E-3</v>
      </c>
      <c r="N122" s="2">
        <v>40.606060606060602</v>
      </c>
      <c r="O122" s="2">
        <v>130</v>
      </c>
      <c r="P122" s="301">
        <v>2.9406442272891784E-3</v>
      </c>
      <c r="Q122" s="14">
        <v>49.696969696969703</v>
      </c>
      <c r="R122" s="2">
        <v>218</v>
      </c>
      <c r="S122" s="301">
        <v>3.8613458030005137E-3</v>
      </c>
      <c r="T122" s="14">
        <v>118.181816</v>
      </c>
      <c r="U122" s="301">
        <v>1.1584158415841583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1503</v>
      </c>
      <c r="B123" s="2">
        <v>87</v>
      </c>
      <c r="C123" s="301">
        <v>4.7747104988749246E-3</v>
      </c>
      <c r="D123" s="2">
        <v>51.515151515151501</v>
      </c>
      <c r="E123" s="2">
        <v>94</v>
      </c>
      <c r="F123" s="301">
        <v>5.0742240215924427E-3</v>
      </c>
      <c r="G123" s="14">
        <v>41.818181818181799</v>
      </c>
      <c r="H123" s="2">
        <v>94</v>
      </c>
      <c r="I123" s="301">
        <v>3.8694274070719958E-3</v>
      </c>
      <c r="J123" s="14">
        <v>69.090909999999994</v>
      </c>
      <c r="K123" s="301">
        <v>8.0459770114942528E-2</v>
      </c>
      <c r="L123" s="2">
        <v>178</v>
      </c>
      <c r="M123" s="301">
        <v>3.8472345300105907E-3</v>
      </c>
      <c r="N123" s="2">
        <v>73.3333333333333</v>
      </c>
      <c r="O123" s="2">
        <v>162</v>
      </c>
      <c r="P123" s="301">
        <v>3.6644951140065146E-3</v>
      </c>
      <c r="Q123" s="14">
        <v>49.696969696969703</v>
      </c>
      <c r="R123" s="2">
        <v>115</v>
      </c>
      <c r="S123" s="301">
        <v>2.036948474059904E-3</v>
      </c>
      <c r="T123" s="14">
        <v>72.121215800000002</v>
      </c>
      <c r="U123" s="301">
        <v>-0.3539325842696629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1504</v>
      </c>
      <c r="B124" s="2">
        <v>335</v>
      </c>
      <c r="C124" s="301">
        <v>1.8385379507162066E-2</v>
      </c>
      <c r="D124" s="2">
        <v>104.24242424242399</v>
      </c>
      <c r="E124" s="2">
        <v>661</v>
      </c>
      <c r="F124" s="301">
        <v>3.5681511470985153E-2</v>
      </c>
      <c r="G124" s="14">
        <v>143.636363636363</v>
      </c>
      <c r="H124" s="2">
        <v>259</v>
      </c>
      <c r="I124" s="301">
        <v>1.0661507430123904E-2</v>
      </c>
      <c r="J124" s="14">
        <v>95.151510000000002</v>
      </c>
      <c r="K124" s="301">
        <v>-0.22686567164179106</v>
      </c>
      <c r="L124" s="2">
        <v>840</v>
      </c>
      <c r="M124" s="301">
        <v>1.8155488793308406E-2</v>
      </c>
      <c r="N124" s="2">
        <v>198.18181818181799</v>
      </c>
      <c r="O124" s="2">
        <v>1101</v>
      </c>
      <c r="P124" s="301">
        <v>2.490499457111835E-2</v>
      </c>
      <c r="Q124" s="14">
        <v>152.12121212121201</v>
      </c>
      <c r="R124" s="2">
        <v>1081</v>
      </c>
      <c r="S124" s="301">
        <v>1.9147315656163098E-2</v>
      </c>
      <c r="T124" s="14">
        <v>192.72728000000001</v>
      </c>
      <c r="U124" s="301">
        <v>0.28690476190476188</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1506</v>
      </c>
      <c r="B125" s="2">
        <v>367</v>
      </c>
      <c r="C125" s="301">
        <v>2.0141594863070083E-2</v>
      </c>
      <c r="D125" s="2">
        <v>119.39393939393899</v>
      </c>
      <c r="E125" s="2">
        <v>432</v>
      </c>
      <c r="F125" s="301">
        <v>2.3319838056680163E-2</v>
      </c>
      <c r="G125" s="14">
        <v>138.18181818181799</v>
      </c>
      <c r="H125" s="2">
        <v>1403</v>
      </c>
      <c r="I125" s="301">
        <v>5.775326225661713E-2</v>
      </c>
      <c r="J125" s="14">
        <v>269.09089999999998</v>
      </c>
      <c r="K125" s="301">
        <v>2.8228882833787465</v>
      </c>
      <c r="L125" s="2">
        <v>539</v>
      </c>
      <c r="M125" s="301">
        <v>1.1649771975706227E-2</v>
      </c>
      <c r="N125" s="2">
        <v>134.54545454545399</v>
      </c>
      <c r="O125" s="2">
        <v>672</v>
      </c>
      <c r="P125" s="301">
        <v>1.5200868621064061E-2</v>
      </c>
      <c r="Q125" s="14">
        <v>145.45454545454501</v>
      </c>
      <c r="R125" s="2">
        <v>1976</v>
      </c>
      <c r="S125" s="301">
        <v>3.5000088562977136E-2</v>
      </c>
      <c r="T125" s="14">
        <v>293.93939999999998</v>
      </c>
      <c r="U125" s="301">
        <v>2.6660482374768089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1757</v>
      </c>
      <c r="B126" s="2">
        <v>679</v>
      </c>
      <c r="C126" s="301">
        <v>3.7264694583173261E-2</v>
      </c>
      <c r="D126" s="2">
        <v>116.363636363636</v>
      </c>
      <c r="E126" s="2">
        <v>556</v>
      </c>
      <c r="F126" s="301">
        <v>3.001349527665317E-2</v>
      </c>
      <c r="G126" s="14">
        <v>133.333333333333</v>
      </c>
      <c r="H126" s="2">
        <v>802</v>
      </c>
      <c r="I126" s="301">
        <v>3.3013625324167455E-2</v>
      </c>
      <c r="J126" s="14">
        <v>176.363632</v>
      </c>
      <c r="K126" s="301">
        <v>0.18114874815905743</v>
      </c>
      <c r="L126" s="2">
        <v>2755</v>
      </c>
      <c r="M126" s="301">
        <v>5.9545680506624593E-2</v>
      </c>
      <c r="N126" s="2">
        <v>258.18181818181802</v>
      </c>
      <c r="O126" s="2">
        <v>2090</v>
      </c>
      <c r="P126" s="301">
        <v>4.7276511038726023E-2</v>
      </c>
      <c r="Q126" s="14">
        <v>224.24242424242399</v>
      </c>
      <c r="R126" s="2">
        <v>2789</v>
      </c>
      <c r="S126" s="301">
        <v>4.9400428644809327E-2</v>
      </c>
      <c r="T126" s="14">
        <v>284.24243200000001</v>
      </c>
      <c r="U126" s="301">
        <v>1.2341197822141561E-2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1758</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1706</v>
      </c>
      <c r="C129" s="304"/>
      <c r="D129" s="304" t="s">
        <v>1707</v>
      </c>
      <c r="E129" s="304" t="s">
        <v>1706</v>
      </c>
      <c r="F129" s="304"/>
      <c r="G129" s="304" t="s">
        <v>1707</v>
      </c>
      <c r="H129" s="304" t="s">
        <v>1706</v>
      </c>
      <c r="I129" s="304"/>
      <c r="J129" s="304" t="s">
        <v>1707</v>
      </c>
      <c r="K129" t="s">
        <v>172</v>
      </c>
      <c r="L129" s="304" t="s">
        <v>1706</v>
      </c>
      <c r="M129" s="304"/>
      <c r="N129" s="304" t="s">
        <v>1707</v>
      </c>
      <c r="O129" s="304" t="s">
        <v>1706</v>
      </c>
      <c r="P129" s="304"/>
      <c r="Q129" s="304" t="s">
        <v>1707</v>
      </c>
      <c r="R129" s="304" t="s">
        <v>1706</v>
      </c>
      <c r="S129" s="304"/>
      <c r="T129" s="304" t="s">
        <v>1707</v>
      </c>
      <c r="U129" t="s">
        <v>172</v>
      </c>
      <c r="V129" s="207" t="s">
        <v>1706</v>
      </c>
      <c r="W129" s="207"/>
      <c r="X129" s="207" t="s">
        <v>1707</v>
      </c>
      <c r="Y129" s="207" t="s">
        <v>1706</v>
      </c>
      <c r="Z129" s="207"/>
      <c r="AA129" s="207" t="s">
        <v>1707</v>
      </c>
      <c r="AB129" s="207" t="s">
        <v>1706</v>
      </c>
      <c r="AC129" s="207"/>
      <c r="AD129" s="207" t="s">
        <v>1707</v>
      </c>
      <c r="AE129" t="s">
        <v>172</v>
      </c>
    </row>
    <row r="130" spans="1:31" x14ac:dyDescent="0.3">
      <c r="A130" t="s">
        <v>174</v>
      </c>
      <c r="B130" s="2">
        <v>17542</v>
      </c>
      <c r="C130" t="s">
        <v>172</v>
      </c>
      <c r="D130" s="2">
        <v>560.60606060606005</v>
      </c>
      <c r="E130" s="2">
        <v>17969</v>
      </c>
      <c r="F130" t="s">
        <v>172</v>
      </c>
      <c r="G130" s="14">
        <v>603.030303030303</v>
      </c>
      <c r="H130" s="2">
        <v>23491</v>
      </c>
      <c r="I130" t="s">
        <v>172</v>
      </c>
      <c r="J130" s="14">
        <v>678.18179999999995</v>
      </c>
      <c r="K130" s="301">
        <v>0.33912894766845286</v>
      </c>
      <c r="L130" s="2">
        <v>43512</v>
      </c>
      <c r="M130" t="s">
        <v>172</v>
      </c>
      <c r="N130" s="2">
        <v>806.66666666666595</v>
      </c>
      <c r="O130" s="2">
        <v>42118</v>
      </c>
      <c r="P130" t="s">
        <v>172</v>
      </c>
      <c r="Q130" s="14">
        <v>1014.54545454545</v>
      </c>
      <c r="R130" s="2">
        <v>53668</v>
      </c>
      <c r="S130" t="s">
        <v>172</v>
      </c>
      <c r="T130" s="14">
        <v>849.09090000000003</v>
      </c>
      <c r="U130" s="301">
        <v>0.23340687626401913</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1529</v>
      </c>
      <c r="B131" s="2">
        <v>429</v>
      </c>
      <c r="C131" s="301">
        <v>2.4455592292783036E-2</v>
      </c>
      <c r="D131" s="2">
        <v>101.212121212121</v>
      </c>
      <c r="E131" s="2">
        <v>270</v>
      </c>
      <c r="F131" s="301">
        <v>1.5025877900829206E-2</v>
      </c>
      <c r="G131" s="14">
        <v>67.272727272727195</v>
      </c>
      <c r="H131" s="2">
        <v>453</v>
      </c>
      <c r="I131" s="301">
        <v>1.9283981099144355E-2</v>
      </c>
      <c r="J131" s="14">
        <v>103.030304</v>
      </c>
      <c r="K131" s="301">
        <v>5.5944055944055944E-2</v>
      </c>
      <c r="L131" s="2">
        <v>1502</v>
      </c>
      <c r="M131" s="301">
        <v>3.4519213090641661E-2</v>
      </c>
      <c r="N131" s="2">
        <v>223.636363636363</v>
      </c>
      <c r="O131" s="2">
        <v>942</v>
      </c>
      <c r="P131" s="301">
        <v>2.2365734365354481E-2</v>
      </c>
      <c r="Q131" s="14">
        <v>128.48484848484799</v>
      </c>
      <c r="R131" s="2">
        <v>1973</v>
      </c>
      <c r="S131" s="301">
        <v>3.6763061787284786E-2</v>
      </c>
      <c r="T131" s="14">
        <v>276.96969999999999</v>
      </c>
      <c r="U131" s="301">
        <v>0.31358189081225035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1530</v>
      </c>
      <c r="B132" s="2">
        <v>2467</v>
      </c>
      <c r="C132" s="301">
        <v>0.14063390719416258</v>
      </c>
      <c r="D132" s="2">
        <v>260</v>
      </c>
      <c r="E132" s="2">
        <v>2196</v>
      </c>
      <c r="F132" s="301">
        <v>0.12221047359341088</v>
      </c>
      <c r="G132" s="14">
        <v>217.575757575757</v>
      </c>
      <c r="H132" s="2">
        <v>3778</v>
      </c>
      <c r="I132" s="301">
        <v>0.16082755097696991</v>
      </c>
      <c r="J132" s="14">
        <v>381.21212800000001</v>
      </c>
      <c r="K132" s="301">
        <v>0.5314146736927442</v>
      </c>
      <c r="L132" s="2">
        <v>5010</v>
      </c>
      <c r="M132" s="301">
        <v>0.11514065085493656</v>
      </c>
      <c r="N132" s="2">
        <v>370.90909090909003</v>
      </c>
      <c r="O132" s="2">
        <v>4695</v>
      </c>
      <c r="P132" s="301">
        <v>0.11147252955980816</v>
      </c>
      <c r="Q132" s="14">
        <v>305.45454545454498</v>
      </c>
      <c r="R132" s="2">
        <v>7420</v>
      </c>
      <c r="S132" s="301">
        <v>0.13825743459789819</v>
      </c>
      <c r="T132" s="14">
        <v>496.96969999999999</v>
      </c>
      <c r="U132" s="301">
        <v>0.48103792415169661</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1531</v>
      </c>
      <c r="B133" s="2">
        <v>3939</v>
      </c>
      <c r="C133" s="301">
        <v>0.22454680196100787</v>
      </c>
      <c r="D133" s="2">
        <v>312.12121212121201</v>
      </c>
      <c r="E133" s="2">
        <v>3930</v>
      </c>
      <c r="F133" s="301">
        <v>0.21871000055651399</v>
      </c>
      <c r="G133" s="14">
        <v>341.81818181818102</v>
      </c>
      <c r="H133" s="2">
        <v>3558</v>
      </c>
      <c r="I133" s="301">
        <v>0.15146226214294836</v>
      </c>
      <c r="J133" s="14">
        <v>257.57574499999998</v>
      </c>
      <c r="K133" s="301">
        <v>-9.6725057121096719E-2</v>
      </c>
      <c r="L133" s="2">
        <v>7949</v>
      </c>
      <c r="M133" s="301">
        <v>0.18268523625666483</v>
      </c>
      <c r="N133" s="2">
        <v>458.18181818181802</v>
      </c>
      <c r="O133" s="2">
        <v>7405</v>
      </c>
      <c r="P133" s="301">
        <v>0.17581556579134811</v>
      </c>
      <c r="Q133" s="14">
        <v>421.21212121212102</v>
      </c>
      <c r="R133" s="2">
        <v>7729</v>
      </c>
      <c r="S133" s="301">
        <v>0.14401505552657076</v>
      </c>
      <c r="T133" s="14">
        <v>429.09089999999998</v>
      </c>
      <c r="U133" s="301">
        <v>-2.7676437287709146E-2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1532</v>
      </c>
      <c r="B134" s="2">
        <v>2432</v>
      </c>
      <c r="C134" s="301">
        <v>0.13863869570174439</v>
      </c>
      <c r="D134" s="2">
        <v>327.87878787878702</v>
      </c>
      <c r="E134" s="2">
        <v>2965</v>
      </c>
      <c r="F134" s="301">
        <v>0.16500639991095775</v>
      </c>
      <c r="G134" s="14">
        <v>281.81818181818102</v>
      </c>
      <c r="H134" s="2">
        <v>2426</v>
      </c>
      <c r="I134" s="301">
        <v>0.10327359414243753</v>
      </c>
      <c r="J134" s="14">
        <v>261.21212800000001</v>
      </c>
      <c r="K134" s="301">
        <v>-2.4671052631578946E-3</v>
      </c>
      <c r="L134" s="2">
        <v>5759</v>
      </c>
      <c r="M134" s="301">
        <v>0.13235429306857879</v>
      </c>
      <c r="N134" s="2">
        <v>452.12121212121201</v>
      </c>
      <c r="O134" s="2">
        <v>6150</v>
      </c>
      <c r="P134" s="301">
        <v>0.14601832945533977</v>
      </c>
      <c r="Q134" s="14">
        <v>448.48484848484799</v>
      </c>
      <c r="R134" s="2">
        <v>5397</v>
      </c>
      <c r="S134" s="301">
        <v>0.10056271893865991</v>
      </c>
      <c r="T134" s="14">
        <v>380</v>
      </c>
      <c r="U134" s="301">
        <v>-6.2858135092898074E-2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1533</v>
      </c>
      <c r="B135" s="2">
        <v>1587</v>
      </c>
      <c r="C135" s="301">
        <v>9.046858967050507E-2</v>
      </c>
      <c r="D135" s="2">
        <v>177.575757575757</v>
      </c>
      <c r="E135" s="2">
        <v>1547</v>
      </c>
      <c r="F135" s="301">
        <v>8.6092715231788075E-2</v>
      </c>
      <c r="G135" s="14">
        <v>187.272727272727</v>
      </c>
      <c r="H135" s="2">
        <v>2423</v>
      </c>
      <c r="I135" s="301">
        <v>0.10314588565833724</v>
      </c>
      <c r="J135" s="14">
        <v>335.75756799999999</v>
      </c>
      <c r="K135" s="301">
        <v>0.52678008821676114</v>
      </c>
      <c r="L135" s="2">
        <v>4911</v>
      </c>
      <c r="M135" s="301">
        <v>0.11286541643684501</v>
      </c>
      <c r="N135" s="2">
        <v>295.75757575757501</v>
      </c>
      <c r="O135" s="2">
        <v>5239</v>
      </c>
      <c r="P135" s="301">
        <v>0.12438862244171138</v>
      </c>
      <c r="Q135" s="14">
        <v>309.09090909090901</v>
      </c>
      <c r="R135" s="2">
        <v>5868</v>
      </c>
      <c r="S135" s="301">
        <v>0.1093388984124618</v>
      </c>
      <c r="T135" s="14">
        <v>455.15152</v>
      </c>
      <c r="U135" s="301">
        <v>0.19486866218692731</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1534</v>
      </c>
      <c r="B136" s="2">
        <v>699</v>
      </c>
      <c r="C136" s="301">
        <v>3.9847223805723406E-2</v>
      </c>
      <c r="D136" s="2">
        <v>126.666666666666</v>
      </c>
      <c r="E136" s="2">
        <v>289</v>
      </c>
      <c r="F136" s="301">
        <v>1.6083254493850521E-2</v>
      </c>
      <c r="G136" s="14">
        <v>72.121212121212096</v>
      </c>
      <c r="H136" s="2">
        <v>759</v>
      </c>
      <c r="I136" s="301">
        <v>3.2310246477374314E-2</v>
      </c>
      <c r="J136" s="14">
        <v>155.75756799999999</v>
      </c>
      <c r="K136" s="301">
        <v>8.5836909871244635E-2</v>
      </c>
      <c r="L136" s="2">
        <v>1907</v>
      </c>
      <c r="M136" s="301">
        <v>4.3826990255561686E-2</v>
      </c>
      <c r="N136" s="2">
        <v>178.18181818181799</v>
      </c>
      <c r="O136" s="2">
        <v>1332</v>
      </c>
      <c r="P136" s="301">
        <v>3.1625433306424804E-2</v>
      </c>
      <c r="Q136" s="14">
        <v>144.84848484848399</v>
      </c>
      <c r="R136" s="2">
        <v>2819</v>
      </c>
      <c r="S136" s="301">
        <v>5.2526645300737869E-2</v>
      </c>
      <c r="T136" s="14">
        <v>270.90910000000002</v>
      </c>
      <c r="U136" s="301">
        <v>0.47823807026743576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1535</v>
      </c>
      <c r="B137" s="2">
        <v>2446</v>
      </c>
      <c r="C137" s="301">
        <v>0.13943678029871168</v>
      </c>
      <c r="D137" s="2">
        <v>263.636363636363</v>
      </c>
      <c r="E137" s="2">
        <v>3534</v>
      </c>
      <c r="F137" s="301">
        <v>0.1966720463019645</v>
      </c>
      <c r="G137" s="14">
        <v>277.575757575757</v>
      </c>
      <c r="H137" s="2">
        <v>3373</v>
      </c>
      <c r="I137" s="301">
        <v>0.14358690562343024</v>
      </c>
      <c r="J137" s="14">
        <v>350.30304000000001</v>
      </c>
      <c r="K137" s="301">
        <v>0.37898609975470154</v>
      </c>
      <c r="L137" s="2">
        <v>5888</v>
      </c>
      <c r="M137" s="301">
        <v>0.13531899246184961</v>
      </c>
      <c r="N137" s="2">
        <v>345.45454545454498</v>
      </c>
      <c r="O137" s="2">
        <v>7439</v>
      </c>
      <c r="P137" s="301">
        <v>0.17662282159646706</v>
      </c>
      <c r="Q137" s="14">
        <v>409.09090909090901</v>
      </c>
      <c r="R137" s="2">
        <v>7351</v>
      </c>
      <c r="S137" s="301">
        <v>0.13697175225460237</v>
      </c>
      <c r="T137" s="14">
        <v>444.24243200000001</v>
      </c>
      <c r="U137" s="301">
        <v>0.24847146739130435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1536</v>
      </c>
      <c r="B138" s="2">
        <v>394</v>
      </c>
      <c r="C138" s="301">
        <v>2.2460380800364839E-2</v>
      </c>
      <c r="D138" s="2">
        <v>86.060606060606005</v>
      </c>
      <c r="E138" s="2">
        <v>424</v>
      </c>
      <c r="F138" s="301">
        <v>2.3596193444265123E-2</v>
      </c>
      <c r="G138" s="14">
        <v>87.878787878787904</v>
      </c>
      <c r="H138" s="2">
        <v>750</v>
      </c>
      <c r="I138" s="301">
        <v>3.1927121025073432E-2</v>
      </c>
      <c r="J138" s="14">
        <v>248.484848</v>
      </c>
      <c r="K138" s="301">
        <v>0.90355329949238583</v>
      </c>
      <c r="L138" s="2">
        <v>1400</v>
      </c>
      <c r="M138" s="301">
        <v>3.2175032175032175E-2</v>
      </c>
      <c r="N138" s="2">
        <v>166.666666666666</v>
      </c>
      <c r="O138" s="2">
        <v>1096</v>
      </c>
      <c r="P138" s="301">
        <v>2.602212830618738E-2</v>
      </c>
      <c r="Q138" s="14">
        <v>152.72727272727201</v>
      </c>
      <c r="R138" s="2">
        <v>1524</v>
      </c>
      <c r="S138" s="301">
        <v>2.8396810017142431E-2</v>
      </c>
      <c r="T138" s="14">
        <v>306.06060000000002</v>
      </c>
      <c r="U138" s="301">
        <v>8.8571428571428565E-2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1537</v>
      </c>
      <c r="B139" s="2">
        <v>537</v>
      </c>
      <c r="C139" s="301">
        <v>3.0612244897959183E-2</v>
      </c>
      <c r="D139" s="2">
        <v>116.363636363636</v>
      </c>
      <c r="E139" s="2">
        <v>758</v>
      </c>
      <c r="F139" s="301">
        <v>4.2183760921587175E-2</v>
      </c>
      <c r="G139" s="14">
        <v>164.24242424242399</v>
      </c>
      <c r="H139" s="2">
        <v>1316</v>
      </c>
      <c r="I139" s="301">
        <v>5.6021455025328848E-2</v>
      </c>
      <c r="J139" s="14">
        <v>315.75756799999999</v>
      </c>
      <c r="K139" s="301">
        <v>1.4506517690875234</v>
      </c>
      <c r="L139" s="2">
        <v>1728</v>
      </c>
      <c r="M139" s="301">
        <v>3.9713182570325425E-2</v>
      </c>
      <c r="N139" s="2">
        <v>178.78787878787799</v>
      </c>
      <c r="O139" s="2">
        <v>1658</v>
      </c>
      <c r="P139" s="301">
        <v>3.9365591908447697E-2</v>
      </c>
      <c r="Q139" s="14">
        <v>209.09090909090901</v>
      </c>
      <c r="R139" s="2">
        <v>2639</v>
      </c>
      <c r="S139" s="301">
        <v>4.9172691361705302E-2</v>
      </c>
      <c r="T139" s="14">
        <v>409.09089999999998</v>
      </c>
      <c r="U139" s="301">
        <v>0.52719907407407407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1538</v>
      </c>
      <c r="B140" s="2">
        <v>1118</v>
      </c>
      <c r="C140" s="301">
        <v>6.3732755672101238E-2</v>
      </c>
      <c r="D140" s="2">
        <v>189.09090909090901</v>
      </c>
      <c r="E140" s="2">
        <v>973</v>
      </c>
      <c r="F140" s="301">
        <v>5.4148811842617842E-2</v>
      </c>
      <c r="G140" s="14">
        <v>196.969696969697</v>
      </c>
      <c r="H140" s="2">
        <v>1831</v>
      </c>
      <c r="I140" s="301">
        <v>7.7944744795879276E-2</v>
      </c>
      <c r="J140" s="14">
        <v>247.878784</v>
      </c>
      <c r="K140" s="301">
        <v>0.63774597495527729</v>
      </c>
      <c r="L140" s="2">
        <v>3427</v>
      </c>
      <c r="M140" s="301">
        <v>7.8759882331310899E-2</v>
      </c>
      <c r="N140" s="2">
        <v>262.42424242424198</v>
      </c>
      <c r="O140" s="2">
        <v>3143</v>
      </c>
      <c r="P140" s="301">
        <v>7.4623676337907785E-2</v>
      </c>
      <c r="Q140" s="14">
        <v>229.09090909090901</v>
      </c>
      <c r="R140" s="2">
        <v>4845</v>
      </c>
      <c r="S140" s="301">
        <v>9.027726019229336E-2</v>
      </c>
      <c r="T140" s="14">
        <v>367.27273600000001</v>
      </c>
      <c r="U140" s="301">
        <v>0.41377297928217099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1539</v>
      </c>
      <c r="B141" s="2">
        <v>746</v>
      </c>
      <c r="C141" s="301">
        <v>4.2526507809827842E-2</v>
      </c>
      <c r="D141" s="2">
        <v>203.030303030303</v>
      </c>
      <c r="E141" s="2">
        <v>606</v>
      </c>
      <c r="F141" s="301">
        <v>3.3724748177416664E-2</v>
      </c>
      <c r="G141" s="14">
        <v>126.06060606060601</v>
      </c>
      <c r="H141" s="2">
        <v>1729</v>
      </c>
      <c r="I141" s="301">
        <v>7.3602656336469285E-2</v>
      </c>
      <c r="J141" s="14">
        <v>295.15152</v>
      </c>
      <c r="K141" s="301">
        <v>1.3176943699731904</v>
      </c>
      <c r="L141" s="2">
        <v>2266</v>
      </c>
      <c r="M141" s="301">
        <v>5.2077587791873506E-2</v>
      </c>
      <c r="N141" s="2">
        <v>295.75757575757501</v>
      </c>
      <c r="O141" s="2">
        <v>1825</v>
      </c>
      <c r="P141" s="301">
        <v>4.3330642480649606E-2</v>
      </c>
      <c r="Q141" s="14">
        <v>195.75757575757501</v>
      </c>
      <c r="R141" s="2">
        <v>3540</v>
      </c>
      <c r="S141" s="301">
        <v>6.5961094134307216E-2</v>
      </c>
      <c r="T141" s="14">
        <v>393.33334400000001</v>
      </c>
      <c r="U141" s="301">
        <v>0.56222418358340687</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1540</v>
      </c>
      <c r="B142" s="2">
        <v>748</v>
      </c>
      <c r="C142" s="301">
        <v>4.2640519895108885E-2</v>
      </c>
      <c r="D142" s="2">
        <v>169.09090909090901</v>
      </c>
      <c r="E142" s="2">
        <v>477</v>
      </c>
      <c r="F142" s="301">
        <v>2.6545717624798265E-2</v>
      </c>
      <c r="G142" s="14">
        <v>121.818181818181</v>
      </c>
      <c r="H142" s="2">
        <v>1095</v>
      </c>
      <c r="I142" s="301">
        <v>4.661359669660721E-2</v>
      </c>
      <c r="J142" s="14">
        <v>229.090912</v>
      </c>
      <c r="K142" s="301">
        <v>0.46390374331550804</v>
      </c>
      <c r="L142" s="2">
        <v>1765</v>
      </c>
      <c r="M142" s="301">
        <v>4.0563522706379848E-2</v>
      </c>
      <c r="N142" s="2">
        <v>234.54545454545399</v>
      </c>
      <c r="O142" s="2">
        <v>1194</v>
      </c>
      <c r="P142" s="301">
        <v>2.8348924450353769E-2</v>
      </c>
      <c r="Q142" s="14">
        <v>156.969696969696</v>
      </c>
      <c r="R142" s="2">
        <v>2563</v>
      </c>
      <c r="S142" s="301">
        <v>4.7756577476335993E-2</v>
      </c>
      <c r="T142" s="14">
        <v>336.96969999999999</v>
      </c>
      <c r="U142" s="301">
        <v>0.4521246458923513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1759</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1706</v>
      </c>
      <c r="C145" s="304"/>
      <c r="D145" s="304" t="s">
        <v>1707</v>
      </c>
      <c r="E145" s="304" t="s">
        <v>1706</v>
      </c>
      <c r="F145" s="304"/>
      <c r="G145" s="304" t="s">
        <v>1707</v>
      </c>
      <c r="H145" s="304" t="s">
        <v>1706</v>
      </c>
      <c r="I145" s="304"/>
      <c r="J145" s="304" t="s">
        <v>1707</v>
      </c>
      <c r="K145" t="s">
        <v>172</v>
      </c>
      <c r="L145" s="304" t="s">
        <v>1706</v>
      </c>
      <c r="M145" s="304"/>
      <c r="N145" s="304" t="s">
        <v>1707</v>
      </c>
      <c r="O145" s="304" t="s">
        <v>1706</v>
      </c>
      <c r="P145" s="304"/>
      <c r="Q145" s="304" t="s">
        <v>1707</v>
      </c>
      <c r="R145" s="304" t="s">
        <v>1706</v>
      </c>
      <c r="S145" s="304"/>
      <c r="T145" s="304" t="s">
        <v>1707</v>
      </c>
      <c r="U145" t="s">
        <v>172</v>
      </c>
      <c r="V145" s="207" t="s">
        <v>1706</v>
      </c>
      <c r="W145" s="207"/>
      <c r="X145" s="207" t="s">
        <v>1707</v>
      </c>
      <c r="Y145" s="207" t="s">
        <v>1706</v>
      </c>
      <c r="Z145" s="207"/>
      <c r="AA145" s="207" t="s">
        <v>1707</v>
      </c>
      <c r="AB145" s="207" t="s">
        <v>1706</v>
      </c>
      <c r="AC145" s="207"/>
      <c r="AD145" s="207" t="s">
        <v>1707</v>
      </c>
      <c r="AE145" t="s">
        <v>172</v>
      </c>
    </row>
    <row r="146" spans="1:31" x14ac:dyDescent="0.3">
      <c r="A146" t="s">
        <v>174</v>
      </c>
      <c r="B146" s="2">
        <v>15857</v>
      </c>
      <c r="C146" t="s">
        <v>172</v>
      </c>
      <c r="D146" s="2">
        <v>297.575757575757</v>
      </c>
      <c r="E146" s="2">
        <v>16791</v>
      </c>
      <c r="F146" t="s">
        <v>172</v>
      </c>
      <c r="G146" s="14">
        <v>318.18181818181802</v>
      </c>
      <c r="H146" s="2">
        <v>17598</v>
      </c>
      <c r="I146" t="s">
        <v>172</v>
      </c>
      <c r="J146" s="14">
        <v>315.75756799999999</v>
      </c>
      <c r="K146" s="301">
        <v>0.1097937819259633</v>
      </c>
      <c r="L146" s="2">
        <v>42089</v>
      </c>
      <c r="M146" t="s">
        <v>172</v>
      </c>
      <c r="N146" s="2">
        <v>393.33333333333297</v>
      </c>
      <c r="O146" s="2">
        <v>43159</v>
      </c>
      <c r="P146" t="s">
        <v>172</v>
      </c>
      <c r="Q146" s="14">
        <v>457.575757575757</v>
      </c>
      <c r="R146" s="2">
        <v>44479</v>
      </c>
      <c r="S146" t="s">
        <v>172</v>
      </c>
      <c r="T146" s="14">
        <v>306.06060000000002</v>
      </c>
      <c r="U146" s="301">
        <v>5.6784432987241319E-2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1760</v>
      </c>
      <c r="B147" s="2">
        <v>1321</v>
      </c>
      <c r="C147" s="301">
        <v>8.330705682033171E-2</v>
      </c>
      <c r="D147" s="2">
        <v>166.666666666666</v>
      </c>
      <c r="E147" s="2">
        <v>1299</v>
      </c>
      <c r="F147" s="301">
        <v>7.7362872967661242E-2</v>
      </c>
      <c r="G147" s="14">
        <v>142.42424242424201</v>
      </c>
      <c r="H147" s="2">
        <v>1979</v>
      </c>
      <c r="I147" s="301">
        <v>0.11245596090464825</v>
      </c>
      <c r="J147" s="14">
        <v>212.72728000000001</v>
      </c>
      <c r="K147" s="301">
        <v>0.49810749432248297</v>
      </c>
      <c r="L147" s="2">
        <v>2927</v>
      </c>
      <c r="M147" s="301">
        <v>6.9543111026634033E-2</v>
      </c>
      <c r="N147" s="2">
        <v>247.87878787878699</v>
      </c>
      <c r="O147" s="2">
        <v>2745</v>
      </c>
      <c r="P147" s="301">
        <v>6.3602029704117338E-2</v>
      </c>
      <c r="Q147" s="14">
        <v>202.42424242424201</v>
      </c>
      <c r="R147" s="2">
        <v>3854</v>
      </c>
      <c r="S147" s="301">
        <v>8.6647631466534772E-2</v>
      </c>
      <c r="T147" s="14">
        <v>282.42425500000002</v>
      </c>
      <c r="U147" s="301">
        <v>0.31670652545268191</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1761</v>
      </c>
      <c r="B148" s="2">
        <v>719</v>
      </c>
      <c r="C148" s="301">
        <v>4.5342750835593117E-2</v>
      </c>
      <c r="D148" s="2">
        <v>135.75757575757501</v>
      </c>
      <c r="E148" s="2">
        <v>587</v>
      </c>
      <c r="F148" s="301">
        <v>3.4959204335656004E-2</v>
      </c>
      <c r="G148" s="14">
        <v>98.181818181818201</v>
      </c>
      <c r="H148" s="2">
        <v>595</v>
      </c>
      <c r="I148" s="301">
        <v>3.3810660302307081E-2</v>
      </c>
      <c r="J148" s="14">
        <v>132.121216</v>
      </c>
      <c r="K148" s="301">
        <v>-0.17246175243393602</v>
      </c>
      <c r="L148" s="2">
        <v>1450</v>
      </c>
      <c r="M148" s="301">
        <v>3.4450806624058541E-2</v>
      </c>
      <c r="N148" s="2">
        <v>179.39393939393901</v>
      </c>
      <c r="O148" s="2">
        <v>1185</v>
      </c>
      <c r="P148" s="301">
        <v>2.7456613915985077E-2</v>
      </c>
      <c r="Q148" s="14">
        <v>161.81818181818099</v>
      </c>
      <c r="R148" s="2">
        <v>1280</v>
      </c>
      <c r="S148" s="301">
        <v>2.8777625396254412E-2</v>
      </c>
      <c r="T148" s="14">
        <v>166.060608</v>
      </c>
      <c r="U148" s="301">
        <v>-0.11724137931034483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1762</v>
      </c>
      <c r="B149" s="2">
        <v>280</v>
      </c>
      <c r="C149" s="301">
        <v>1.7657816737087721E-2</v>
      </c>
      <c r="D149" s="2">
        <v>106.06060606060601</v>
      </c>
      <c r="E149" s="2">
        <v>143</v>
      </c>
      <c r="F149" s="301">
        <v>8.5164671550235251E-3</v>
      </c>
      <c r="G149" s="14">
        <v>43.030303030303003</v>
      </c>
      <c r="H149" s="2">
        <v>213</v>
      </c>
      <c r="I149" s="301">
        <v>1.2103648141834299E-2</v>
      </c>
      <c r="J149" s="14">
        <v>126.666664</v>
      </c>
      <c r="K149" s="301">
        <v>-0.2392857142857143</v>
      </c>
      <c r="L149" s="2">
        <v>521</v>
      </c>
      <c r="M149" s="301">
        <v>1.2378531207678966E-2</v>
      </c>
      <c r="N149" s="2">
        <v>107.272727272727</v>
      </c>
      <c r="O149" s="2">
        <v>271</v>
      </c>
      <c r="P149" s="301">
        <v>6.279107486271693E-3</v>
      </c>
      <c r="Q149" s="14">
        <v>63.636363636363598</v>
      </c>
      <c r="R149" s="2">
        <v>387</v>
      </c>
      <c r="S149" s="301">
        <v>8.7007351783987951E-3</v>
      </c>
      <c r="T149" s="14">
        <v>135.75756799999999</v>
      </c>
      <c r="U149" s="301">
        <v>-0.25719769673704412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1763</v>
      </c>
      <c r="B150" s="2">
        <v>439</v>
      </c>
      <c r="C150" s="301">
        <v>2.7684934098505393E-2</v>
      </c>
      <c r="D150" s="2">
        <v>92.121212121212096</v>
      </c>
      <c r="E150" s="2">
        <v>444</v>
      </c>
      <c r="F150" s="301">
        <v>2.6442737180632482E-2</v>
      </c>
      <c r="G150" s="14">
        <v>95.151515151515099</v>
      </c>
      <c r="H150" s="2">
        <v>382</v>
      </c>
      <c r="I150" s="301">
        <v>2.1707012160472782E-2</v>
      </c>
      <c r="J150" s="14">
        <v>100.606064</v>
      </c>
      <c r="K150" s="301">
        <v>-0.12984054669703873</v>
      </c>
      <c r="L150" s="2">
        <v>929</v>
      </c>
      <c r="M150" s="301">
        <v>2.2072275416379575E-2</v>
      </c>
      <c r="N150" s="2">
        <v>139.39393939393901</v>
      </c>
      <c r="O150" s="2">
        <v>914</v>
      </c>
      <c r="P150" s="301">
        <v>2.1177506429713385E-2</v>
      </c>
      <c r="Q150" s="14">
        <v>147.87878787878699</v>
      </c>
      <c r="R150" s="2">
        <v>893</v>
      </c>
      <c r="S150" s="301">
        <v>2.0076890217855619E-2</v>
      </c>
      <c r="T150" s="14">
        <v>143.03030000000001</v>
      </c>
      <c r="U150" s="301">
        <v>-3.8751345532831001E-2</v>
      </c>
      <c r="V150" s="2">
        <v>150058</v>
      </c>
      <c r="W150" s="27">
        <v>1.2E-2</v>
      </c>
      <c r="X150" s="2">
        <v>1699</v>
      </c>
      <c r="Y150" s="2">
        <v>157568</v>
      </c>
      <c r="Z150" s="27">
        <v>1.2E-2</v>
      </c>
      <c r="AA150" s="14">
        <v>1599.39</v>
      </c>
      <c r="AB150" s="2">
        <v>132020</v>
      </c>
      <c r="AC150" s="27">
        <v>0.01</v>
      </c>
      <c r="AD150" s="14">
        <v>1887.88</v>
      </c>
      <c r="AE150" s="27">
        <v>-0.12</v>
      </c>
    </row>
    <row r="151" spans="1:31" x14ac:dyDescent="0.3">
      <c r="A151" t="s">
        <v>1764</v>
      </c>
      <c r="B151" s="2">
        <v>602</v>
      </c>
      <c r="C151" s="301">
        <v>3.79643059847386E-2</v>
      </c>
      <c r="D151" s="2">
        <v>104.24242424242399</v>
      </c>
      <c r="E151" s="2">
        <v>712</v>
      </c>
      <c r="F151" s="301">
        <v>4.2403668632005238E-2</v>
      </c>
      <c r="G151" s="14">
        <v>111.515151515151</v>
      </c>
      <c r="H151" s="2">
        <v>1384</v>
      </c>
      <c r="I151" s="301">
        <v>7.8645300602341178E-2</v>
      </c>
      <c r="J151" s="14">
        <v>198.18182400000001</v>
      </c>
      <c r="K151" s="301">
        <v>1.2990033222591362</v>
      </c>
      <c r="L151" s="2">
        <v>1477</v>
      </c>
      <c r="M151" s="301">
        <v>3.5092304402575492E-2</v>
      </c>
      <c r="N151" s="2">
        <v>167.272727272727</v>
      </c>
      <c r="O151" s="2">
        <v>1560</v>
      </c>
      <c r="P151" s="301">
        <v>3.6145415788132254E-2</v>
      </c>
      <c r="Q151" s="14">
        <v>165.45454545454501</v>
      </c>
      <c r="R151" s="2">
        <v>2574</v>
      </c>
      <c r="S151" s="301">
        <v>5.787000607028036E-2</v>
      </c>
      <c r="T151" s="14">
        <v>254.545456</v>
      </c>
      <c r="U151" s="301">
        <v>0.74272173324306023</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1765</v>
      </c>
      <c r="B152" s="2">
        <v>14536</v>
      </c>
      <c r="C152" s="301">
        <v>0.91669294317966832</v>
      </c>
      <c r="D152" s="2">
        <v>332.72727272727201</v>
      </c>
      <c r="E152" s="2">
        <v>15492</v>
      </c>
      <c r="F152" s="301">
        <v>0.9226371270323388</v>
      </c>
      <c r="G152" s="14">
        <v>337.575757575757</v>
      </c>
      <c r="H152" s="2">
        <v>15619</v>
      </c>
      <c r="I152" s="301">
        <v>0.88754403909535173</v>
      </c>
      <c r="J152" s="14">
        <v>364.84848</v>
      </c>
      <c r="K152" s="301">
        <v>7.4504678040726469E-2</v>
      </c>
      <c r="L152" s="2">
        <v>39162</v>
      </c>
      <c r="M152" s="301">
        <v>0.93045688897336598</v>
      </c>
      <c r="N152" s="2">
        <v>409.69696969696901</v>
      </c>
      <c r="O152" s="2">
        <v>40414</v>
      </c>
      <c r="P152" s="301">
        <v>0.93639797029588268</v>
      </c>
      <c r="Q152" s="14">
        <v>509.09090909090901</v>
      </c>
      <c r="R152" s="2">
        <v>40625</v>
      </c>
      <c r="S152" s="301">
        <v>0.91335236853346524</v>
      </c>
      <c r="T152" s="14">
        <v>409.69695999999999</v>
      </c>
      <c r="U152" s="301">
        <v>3.7357642612736837E-2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1766</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1706</v>
      </c>
      <c r="C155" s="304"/>
      <c r="D155" s="304" t="s">
        <v>1707</v>
      </c>
      <c r="E155" s="304" t="s">
        <v>1706</v>
      </c>
      <c r="F155" s="304"/>
      <c r="G155" s="304" t="s">
        <v>1707</v>
      </c>
      <c r="H155" s="304" t="s">
        <v>1706</v>
      </c>
      <c r="I155" s="304"/>
      <c r="J155" s="304" t="s">
        <v>1707</v>
      </c>
      <c r="K155" t="s">
        <v>172</v>
      </c>
      <c r="L155" s="304" t="s">
        <v>1706</v>
      </c>
      <c r="M155" s="304"/>
      <c r="N155" s="304" t="s">
        <v>1707</v>
      </c>
      <c r="O155" s="304" t="s">
        <v>1706</v>
      </c>
      <c r="P155" s="304"/>
      <c r="Q155" s="304" t="s">
        <v>1707</v>
      </c>
      <c r="R155" s="304" t="s">
        <v>1706</v>
      </c>
      <c r="S155" s="304"/>
      <c r="T155" s="304" t="s">
        <v>1707</v>
      </c>
      <c r="U155" t="s">
        <v>172</v>
      </c>
      <c r="V155" s="207" t="s">
        <v>1706</v>
      </c>
      <c r="W155" s="207"/>
      <c r="X155" s="207" t="s">
        <v>1707</v>
      </c>
      <c r="Y155" s="207" t="s">
        <v>1706</v>
      </c>
      <c r="Z155" s="207"/>
      <c r="AA155" s="207" t="s">
        <v>1707</v>
      </c>
      <c r="AB155" s="207" t="s">
        <v>1706</v>
      </c>
      <c r="AC155" s="207"/>
      <c r="AD155" s="207" t="s">
        <v>1707</v>
      </c>
      <c r="AE155" t="s">
        <v>172</v>
      </c>
    </row>
    <row r="156" spans="1:31" x14ac:dyDescent="0.3">
      <c r="A156" t="s">
        <v>174</v>
      </c>
      <c r="B156" s="2">
        <v>15857</v>
      </c>
      <c r="C156" t="s">
        <v>172</v>
      </c>
      <c r="D156" s="2">
        <v>297.575757575757</v>
      </c>
      <c r="E156" s="2">
        <v>16791</v>
      </c>
      <c r="F156" t="s">
        <v>172</v>
      </c>
      <c r="G156" s="14">
        <v>318.18181818181802</v>
      </c>
      <c r="H156" s="2">
        <v>17598</v>
      </c>
      <c r="I156" t="s">
        <v>172</v>
      </c>
      <c r="J156" s="14">
        <v>315.75756799999999</v>
      </c>
      <c r="K156" s="301">
        <v>0.1097937819259633</v>
      </c>
      <c r="L156" s="2">
        <v>42089</v>
      </c>
      <c r="M156" t="s">
        <v>172</v>
      </c>
      <c r="N156" s="2">
        <v>393.33333333333297</v>
      </c>
      <c r="O156" s="2">
        <v>43159</v>
      </c>
      <c r="P156" t="s">
        <v>172</v>
      </c>
      <c r="Q156" s="14">
        <v>457.575757575757</v>
      </c>
      <c r="R156" s="2">
        <v>44479</v>
      </c>
      <c r="S156" t="s">
        <v>172</v>
      </c>
      <c r="T156" s="14">
        <v>306.06060000000002</v>
      </c>
      <c r="U156" s="301">
        <v>5.6784432987241319E-2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1767</v>
      </c>
      <c r="B157" s="2">
        <v>12490</v>
      </c>
      <c r="C157" s="301">
        <v>0.78766475373652012</v>
      </c>
      <c r="D157" s="2">
        <v>264.84848484848402</v>
      </c>
      <c r="E157" s="2">
        <v>13361</v>
      </c>
      <c r="F157" s="301">
        <v>0.79572389970817703</v>
      </c>
      <c r="G157" s="14">
        <v>282.42424242424198</v>
      </c>
      <c r="H157" s="2">
        <v>14271</v>
      </c>
      <c r="I157" s="301">
        <v>0.81094442550289803</v>
      </c>
      <c r="J157" s="14">
        <v>302.42425500000002</v>
      </c>
      <c r="K157" s="301">
        <v>0.14259407526020818</v>
      </c>
      <c r="L157" s="2">
        <v>32768</v>
      </c>
      <c r="M157" s="301">
        <v>0.77854071134975888</v>
      </c>
      <c r="N157" s="2">
        <v>467.27272727272702</v>
      </c>
      <c r="O157" s="2">
        <v>33201</v>
      </c>
      <c r="P157" s="301">
        <v>0.76927176255242247</v>
      </c>
      <c r="Q157" s="14">
        <v>509.09090909090901</v>
      </c>
      <c r="R157" s="2">
        <v>34966</v>
      </c>
      <c r="S157" s="301">
        <v>0.7861237887542436</v>
      </c>
      <c r="T157" s="14">
        <v>380.60604899999998</v>
      </c>
      <c r="U157" s="301">
        <v>6.707763671875E-2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1768</v>
      </c>
      <c r="B158" s="2">
        <v>8246</v>
      </c>
      <c r="C158" s="301">
        <v>0.5200227029072334</v>
      </c>
      <c r="D158" s="2">
        <v>258.18181818181802</v>
      </c>
      <c r="E158" s="2">
        <v>8212</v>
      </c>
      <c r="F158" s="301">
        <v>0.48907152641295931</v>
      </c>
      <c r="G158" s="14">
        <v>280.60606060606</v>
      </c>
      <c r="H158" s="2">
        <v>9606</v>
      </c>
      <c r="I158" s="301">
        <v>0.54585748380497778</v>
      </c>
      <c r="J158" s="14">
        <v>363.63635299999999</v>
      </c>
      <c r="K158" s="301">
        <v>0.1649284501576522</v>
      </c>
      <c r="L158" s="2">
        <v>24475</v>
      </c>
      <c r="M158" s="301">
        <v>0.58150585663712606</v>
      </c>
      <c r="N158" s="2">
        <v>466.06060606060601</v>
      </c>
      <c r="O158" s="2">
        <v>24201</v>
      </c>
      <c r="P158" s="301">
        <v>0.56074051762089017</v>
      </c>
      <c r="Q158" s="14">
        <v>521.81818181818096</v>
      </c>
      <c r="R158" s="2">
        <v>26095</v>
      </c>
      <c r="S158" s="301">
        <v>0.58668135524629605</v>
      </c>
      <c r="T158" s="14">
        <v>491.51513699999998</v>
      </c>
      <c r="U158" s="301">
        <v>6.6189989785495409E-2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1769</v>
      </c>
      <c r="B159" s="2">
        <v>4244</v>
      </c>
      <c r="C159" s="301">
        <v>0.26764205082928677</v>
      </c>
      <c r="D159" s="2">
        <v>281.21212121212102</v>
      </c>
      <c r="E159" s="2">
        <v>5149</v>
      </c>
      <c r="F159" s="301">
        <v>0.30665237329521766</v>
      </c>
      <c r="G159" s="14">
        <v>283.030303030303</v>
      </c>
      <c r="H159" s="2">
        <v>4665</v>
      </c>
      <c r="I159" s="301">
        <v>0.26508694169792024</v>
      </c>
      <c r="J159" s="14">
        <v>320</v>
      </c>
      <c r="K159" s="301">
        <v>9.9198868991517433E-2</v>
      </c>
      <c r="L159" s="2">
        <v>8293</v>
      </c>
      <c r="M159" s="301">
        <v>0.19703485471263277</v>
      </c>
      <c r="N159" s="2">
        <v>456.969696969697</v>
      </c>
      <c r="O159" s="2">
        <v>9000</v>
      </c>
      <c r="P159" s="301">
        <v>0.20853124493153224</v>
      </c>
      <c r="Q159" s="14">
        <v>419.39393939393898</v>
      </c>
      <c r="R159" s="2">
        <v>8871</v>
      </c>
      <c r="S159" s="301">
        <v>0.19944243350794758</v>
      </c>
      <c r="T159" s="14">
        <v>426.06060000000002</v>
      </c>
      <c r="U159" s="301">
        <v>6.969733510189316E-2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1770</v>
      </c>
      <c r="B160" s="2">
        <v>1222</v>
      </c>
      <c r="C160" s="301">
        <v>7.7063757331147134E-2</v>
      </c>
      <c r="D160" s="2">
        <v>158.78787878787799</v>
      </c>
      <c r="E160" s="2">
        <v>1233</v>
      </c>
      <c r="F160" s="301">
        <v>7.3432195819188847E-2</v>
      </c>
      <c r="G160" s="14">
        <v>175.75757575757501</v>
      </c>
      <c r="H160" s="2">
        <v>1314</v>
      </c>
      <c r="I160" s="301">
        <v>7.4667575860893287E-2</v>
      </c>
      <c r="J160" s="14">
        <v>173.939392</v>
      </c>
      <c r="K160" s="301">
        <v>7.5286415711947621E-2</v>
      </c>
      <c r="L160" s="2">
        <v>2621</v>
      </c>
      <c r="M160" s="301">
        <v>6.2272802870108578E-2</v>
      </c>
      <c r="N160" s="2">
        <v>264.84848484848402</v>
      </c>
      <c r="O160" s="2">
        <v>2572</v>
      </c>
      <c r="P160" s="301">
        <v>5.9593595773766772E-2</v>
      </c>
      <c r="Q160" s="14">
        <v>241.81818181818099</v>
      </c>
      <c r="R160" s="2">
        <v>2850</v>
      </c>
      <c r="S160" s="301">
        <v>6.4075181546347712E-2</v>
      </c>
      <c r="T160" s="14">
        <v>225.454544</v>
      </c>
      <c r="U160" s="301">
        <v>8.7371232354063341E-2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1771</v>
      </c>
      <c r="B161" s="2">
        <v>3022</v>
      </c>
      <c r="C161" s="301">
        <v>0.19057829349813962</v>
      </c>
      <c r="D161" s="2">
        <v>208.48484848484799</v>
      </c>
      <c r="E161" s="2">
        <v>3916</v>
      </c>
      <c r="F161" s="301">
        <v>0.23322017747602883</v>
      </c>
      <c r="G161" s="14">
        <v>243.636363636363</v>
      </c>
      <c r="H161" s="2">
        <v>3351</v>
      </c>
      <c r="I161" s="301">
        <v>0.19041936583702693</v>
      </c>
      <c r="J161" s="14">
        <v>268.48486300000002</v>
      </c>
      <c r="K161" s="301">
        <v>0.10886829913964262</v>
      </c>
      <c r="L161" s="2">
        <v>5672</v>
      </c>
      <c r="M161" s="301">
        <v>0.13476205184252418</v>
      </c>
      <c r="N161" s="2">
        <v>286.06060606060601</v>
      </c>
      <c r="O161" s="2">
        <v>6428</v>
      </c>
      <c r="P161" s="301">
        <v>0.14893764915776547</v>
      </c>
      <c r="Q161" s="14">
        <v>372.12121212121201</v>
      </c>
      <c r="R161" s="2">
        <v>6021</v>
      </c>
      <c r="S161" s="301">
        <v>0.13536725196159985</v>
      </c>
      <c r="T161" s="14">
        <v>366.06060000000002</v>
      </c>
      <c r="U161" s="301">
        <v>6.1530324400564176E-2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1772</v>
      </c>
      <c r="B162" s="2">
        <v>3367</v>
      </c>
      <c r="C162" s="301">
        <v>0.21233524626347985</v>
      </c>
      <c r="D162" s="2">
        <v>252.12121212121201</v>
      </c>
      <c r="E162" s="2">
        <v>3430</v>
      </c>
      <c r="F162" s="301">
        <v>0.204276100291823</v>
      </c>
      <c r="G162" s="14">
        <v>283.636363636363</v>
      </c>
      <c r="H162" s="2">
        <v>3327</v>
      </c>
      <c r="I162" s="301">
        <v>0.18905557449710195</v>
      </c>
      <c r="J162" s="14">
        <v>261.81817599999999</v>
      </c>
      <c r="K162" s="301">
        <v>-1.188001188001188E-2</v>
      </c>
      <c r="L162" s="2">
        <v>9321</v>
      </c>
      <c r="M162" s="301">
        <v>0.22145928865024114</v>
      </c>
      <c r="N162" s="2">
        <v>335.75757575757501</v>
      </c>
      <c r="O162" s="2">
        <v>9958</v>
      </c>
      <c r="P162" s="301">
        <v>0.23072823744757756</v>
      </c>
      <c r="Q162" s="14">
        <v>418.78787878787801</v>
      </c>
      <c r="R162" s="2">
        <v>9513</v>
      </c>
      <c r="S162" s="301">
        <v>0.21387621124575643</v>
      </c>
      <c r="T162" s="14">
        <v>389.09089999999998</v>
      </c>
      <c r="U162" s="301">
        <v>2.0598648213710977E-2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1773</v>
      </c>
      <c r="B163" s="2">
        <v>2814</v>
      </c>
      <c r="C163" s="301">
        <v>0.17746105820773161</v>
      </c>
      <c r="D163" s="2">
        <v>251.51515151515099</v>
      </c>
      <c r="E163" s="2">
        <v>3022</v>
      </c>
      <c r="F163" s="301">
        <v>0.1799773688285391</v>
      </c>
      <c r="G163" s="14">
        <v>272.12121212121201</v>
      </c>
      <c r="H163" s="2">
        <v>2494</v>
      </c>
      <c r="I163" s="301">
        <v>0.14172065007387202</v>
      </c>
      <c r="J163" s="14">
        <v>224.24243200000001</v>
      </c>
      <c r="K163" s="301">
        <v>-0.11371712864250177</v>
      </c>
      <c r="L163" s="2">
        <v>7915</v>
      </c>
      <c r="M163" s="301">
        <v>0.18805388581339541</v>
      </c>
      <c r="N163" s="2">
        <v>300</v>
      </c>
      <c r="O163" s="2">
        <v>8437</v>
      </c>
      <c r="P163" s="301">
        <v>0.1954864570541486</v>
      </c>
      <c r="Q163" s="14">
        <v>420</v>
      </c>
      <c r="R163" s="2">
        <v>7388</v>
      </c>
      <c r="S163" s="301">
        <v>0.16610085658400595</v>
      </c>
      <c r="T163" s="14">
        <v>325.45455900000002</v>
      </c>
      <c r="U163" s="301">
        <v>-6.6582438408085906E-2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1774</v>
      </c>
      <c r="B164" s="2">
        <v>553</v>
      </c>
      <c r="C164" s="301">
        <v>3.4874188055748247E-2</v>
      </c>
      <c r="D164" s="2">
        <v>107.87878787878699</v>
      </c>
      <c r="E164" s="2">
        <v>408</v>
      </c>
      <c r="F164" s="301">
        <v>2.4298731463283901E-2</v>
      </c>
      <c r="G164" s="14">
        <v>98.181818181818201</v>
      </c>
      <c r="H164" s="2">
        <v>833</v>
      </c>
      <c r="I164" s="301">
        <v>4.733492442322991E-2</v>
      </c>
      <c r="J164" s="14">
        <v>152.121216</v>
      </c>
      <c r="K164" s="301">
        <v>0.50632911392405067</v>
      </c>
      <c r="L164" s="2">
        <v>1406</v>
      </c>
      <c r="M164" s="301">
        <v>3.3405402836845732E-2</v>
      </c>
      <c r="N164" s="2">
        <v>158.18181818181799</v>
      </c>
      <c r="O164" s="2">
        <v>1521</v>
      </c>
      <c r="P164" s="301">
        <v>3.5241780393428949E-2</v>
      </c>
      <c r="Q164" s="14">
        <v>160.60606060606</v>
      </c>
      <c r="R164" s="2">
        <v>2125</v>
      </c>
      <c r="S164" s="301">
        <v>4.7775354661750487E-2</v>
      </c>
      <c r="T164" s="14">
        <v>256.96969999999999</v>
      </c>
      <c r="U164" s="301">
        <v>0.51137980085348511</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1775</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1706</v>
      </c>
      <c r="C167" s="304"/>
      <c r="D167" s="304" t="s">
        <v>1707</v>
      </c>
      <c r="E167" s="304" t="s">
        <v>1706</v>
      </c>
      <c r="F167" s="304"/>
      <c r="G167" s="304" t="s">
        <v>1707</v>
      </c>
      <c r="H167" s="304" t="s">
        <v>1706</v>
      </c>
      <c r="I167" s="304"/>
      <c r="J167" s="304" t="s">
        <v>1707</v>
      </c>
      <c r="K167" t="s">
        <v>172</v>
      </c>
      <c r="L167" s="304" t="s">
        <v>1706</v>
      </c>
      <c r="M167" s="304"/>
      <c r="N167" s="304" t="s">
        <v>1707</v>
      </c>
      <c r="O167" s="304" t="s">
        <v>1706</v>
      </c>
      <c r="P167" s="304"/>
      <c r="Q167" s="304" t="s">
        <v>1707</v>
      </c>
      <c r="R167" s="304" t="s">
        <v>1706</v>
      </c>
      <c r="S167" s="304"/>
      <c r="T167" s="304" t="s">
        <v>1707</v>
      </c>
      <c r="U167" t="s">
        <v>172</v>
      </c>
      <c r="V167" s="207" t="s">
        <v>1706</v>
      </c>
      <c r="W167" s="207"/>
      <c r="X167" s="207" t="s">
        <v>1707</v>
      </c>
      <c r="Y167" s="207" t="s">
        <v>1706</v>
      </c>
      <c r="Z167" s="207"/>
      <c r="AA167" s="207" t="s">
        <v>1707</v>
      </c>
      <c r="AB167" s="207" t="s">
        <v>1706</v>
      </c>
      <c r="AC167" s="207"/>
      <c r="AD167" s="207" t="s">
        <v>1707</v>
      </c>
      <c r="AE167" t="s">
        <v>172</v>
      </c>
    </row>
    <row r="168" spans="1:31" x14ac:dyDescent="0.3">
      <c r="A168" t="s">
        <v>174</v>
      </c>
      <c r="B168" s="2">
        <v>12490</v>
      </c>
      <c r="C168" t="s">
        <v>172</v>
      </c>
      <c r="D168" s="2">
        <v>264.84848484848402</v>
      </c>
      <c r="E168" s="2">
        <v>13361</v>
      </c>
      <c r="F168" t="s">
        <v>172</v>
      </c>
      <c r="G168" s="14">
        <v>282.42424242424198</v>
      </c>
      <c r="H168" s="2">
        <v>14271</v>
      </c>
      <c r="I168" t="s">
        <v>172</v>
      </c>
      <c r="J168" s="14">
        <v>302.42425500000002</v>
      </c>
      <c r="K168" s="301">
        <v>0.14259407526020818</v>
      </c>
      <c r="L168" s="2">
        <v>32768</v>
      </c>
      <c r="M168" t="s">
        <v>172</v>
      </c>
      <c r="N168" s="2">
        <v>467.27272727272702</v>
      </c>
      <c r="O168" s="2">
        <v>33201</v>
      </c>
      <c r="P168" t="s">
        <v>172</v>
      </c>
      <c r="Q168" s="14">
        <v>509.09090909090901</v>
      </c>
      <c r="R168" s="2">
        <v>34966</v>
      </c>
      <c r="S168" t="s">
        <v>172</v>
      </c>
      <c r="T168" s="14">
        <v>380.60604899999998</v>
      </c>
      <c r="U168" s="301">
        <v>6.707763671875E-2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1776</v>
      </c>
      <c r="B169" s="2">
        <v>8246</v>
      </c>
      <c r="C169" s="301">
        <v>0.66020816653322656</v>
      </c>
      <c r="D169" s="2">
        <v>258.18181818181802</v>
      </c>
      <c r="E169" s="2">
        <v>8212</v>
      </c>
      <c r="F169" s="301">
        <v>0.61462465384327525</v>
      </c>
      <c r="G169" s="14">
        <v>280.60606060606</v>
      </c>
      <c r="H169" s="2">
        <v>9606</v>
      </c>
      <c r="I169" s="301">
        <v>0.67311330670590708</v>
      </c>
      <c r="J169" s="14">
        <v>363.63635299999999</v>
      </c>
      <c r="K169" s="301">
        <v>0.1649284501576522</v>
      </c>
      <c r="L169" s="2">
        <v>24475</v>
      </c>
      <c r="M169" s="301">
        <v>0.746917724609375</v>
      </c>
      <c r="N169" s="2">
        <v>466.06060606060601</v>
      </c>
      <c r="O169" s="2">
        <v>24201</v>
      </c>
      <c r="P169" s="301">
        <v>0.7289238275955543</v>
      </c>
      <c r="Q169" s="14">
        <v>521.81818181818096</v>
      </c>
      <c r="R169" s="2">
        <v>26095</v>
      </c>
      <c r="S169" s="301">
        <v>0.74629640221929872</v>
      </c>
      <c r="T169" s="14">
        <v>491.51513699999998</v>
      </c>
      <c r="U169" s="301">
        <v>6.6189989785495409E-2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4989</v>
      </c>
      <c r="C170" s="301">
        <v>0.39943955164131306</v>
      </c>
      <c r="D170" s="2">
        <v>213.333333333333</v>
      </c>
      <c r="E170" s="2">
        <v>4563</v>
      </c>
      <c r="F170" s="301">
        <v>0.34151635356634985</v>
      </c>
      <c r="G170" s="14">
        <v>227.87878787878699</v>
      </c>
      <c r="H170" s="2">
        <v>5576</v>
      </c>
      <c r="I170" s="301">
        <v>0.39072244411744095</v>
      </c>
      <c r="J170" s="14">
        <v>267.878784</v>
      </c>
      <c r="K170" s="301">
        <v>0.11765884946883143</v>
      </c>
      <c r="L170" s="2">
        <v>11552</v>
      </c>
      <c r="M170" s="301">
        <v>0.3525390625</v>
      </c>
      <c r="N170" s="2">
        <v>342.42424242424198</v>
      </c>
      <c r="O170" s="2">
        <v>10368</v>
      </c>
      <c r="P170" s="301">
        <v>0.31227975060992141</v>
      </c>
      <c r="Q170" s="14">
        <v>360</v>
      </c>
      <c r="R170" s="2">
        <v>11464</v>
      </c>
      <c r="S170" s="301">
        <v>0.32786135102671166</v>
      </c>
      <c r="T170" s="14">
        <v>395.75756799999999</v>
      </c>
      <c r="U170" s="301">
        <v>-7.6177285318559558E-3</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1777</v>
      </c>
      <c r="B171" s="2">
        <v>785</v>
      </c>
      <c r="C171" s="301">
        <v>6.285028022417935E-2</v>
      </c>
      <c r="D171" s="2">
        <v>119.39393939393899</v>
      </c>
      <c r="E171" s="2">
        <v>760</v>
      </c>
      <c r="F171" s="301">
        <v>5.6881969912431704E-2</v>
      </c>
      <c r="G171" s="14">
        <v>140</v>
      </c>
      <c r="H171" s="2">
        <v>623</v>
      </c>
      <c r="I171" s="301">
        <v>4.3654964613551957E-2</v>
      </c>
      <c r="J171" s="14">
        <v>135.75756799999999</v>
      </c>
      <c r="K171" s="301">
        <v>-0.20636942675159237</v>
      </c>
      <c r="L171" s="2">
        <v>1649</v>
      </c>
      <c r="M171" s="301">
        <v>5.0323486328125E-2</v>
      </c>
      <c r="N171" s="2">
        <v>187.272727272727</v>
      </c>
      <c r="O171" s="2">
        <v>1803</v>
      </c>
      <c r="P171" s="301">
        <v>5.4305593205023948E-2</v>
      </c>
      <c r="Q171" s="14">
        <v>200.60606060606</v>
      </c>
      <c r="R171" s="2">
        <v>1560</v>
      </c>
      <c r="S171" s="301">
        <v>4.4614768632385747E-2</v>
      </c>
      <c r="T171" s="14">
        <v>213.33332799999999</v>
      </c>
      <c r="U171" s="301">
        <v>-5.3972104305639784E-2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1778</v>
      </c>
      <c r="B172" s="2">
        <v>1631</v>
      </c>
      <c r="C172" s="301">
        <v>0.13058446757405925</v>
      </c>
      <c r="D172" s="2">
        <v>147.87878787878699</v>
      </c>
      <c r="E172" s="2">
        <v>1429</v>
      </c>
      <c r="F172" s="301">
        <v>0.10695307237482224</v>
      </c>
      <c r="G172" s="14">
        <v>162.42424242424201</v>
      </c>
      <c r="H172" s="2">
        <v>2057</v>
      </c>
      <c r="I172" s="301">
        <v>0.14413846261649499</v>
      </c>
      <c r="J172" s="14">
        <v>254.545456</v>
      </c>
      <c r="K172" s="301">
        <v>0.26118945432250151</v>
      </c>
      <c r="L172" s="2">
        <v>3325</v>
      </c>
      <c r="M172" s="301">
        <v>0.101470947265625</v>
      </c>
      <c r="N172" s="2">
        <v>218.18181818181799</v>
      </c>
      <c r="O172" s="2">
        <v>2778</v>
      </c>
      <c r="P172" s="301">
        <v>8.3672178548838891E-2</v>
      </c>
      <c r="Q172" s="14">
        <v>227.87878787878699</v>
      </c>
      <c r="R172" s="2">
        <v>3724</v>
      </c>
      <c r="S172" s="301">
        <v>0.10650346050449008</v>
      </c>
      <c r="T172" s="14">
        <v>339.39395100000002</v>
      </c>
      <c r="U172" s="301">
        <v>0.12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1779</v>
      </c>
      <c r="B173" s="2">
        <v>2573</v>
      </c>
      <c r="C173" s="301">
        <v>0.20600480384307446</v>
      </c>
      <c r="D173" s="2">
        <v>203.030303030303</v>
      </c>
      <c r="E173" s="2">
        <v>2374</v>
      </c>
      <c r="F173" s="301">
        <v>0.17768131127909587</v>
      </c>
      <c r="G173" s="14">
        <v>165.45454545454501</v>
      </c>
      <c r="H173" s="2">
        <v>2896</v>
      </c>
      <c r="I173" s="301">
        <v>0.20292901688739401</v>
      </c>
      <c r="J173" s="14">
        <v>278.18182400000001</v>
      </c>
      <c r="K173" s="301">
        <v>0.12553439564710456</v>
      </c>
      <c r="L173" s="2">
        <v>6578</v>
      </c>
      <c r="M173" s="301">
        <v>0.20074462890625</v>
      </c>
      <c r="N173" s="2">
        <v>298.78787878787801</v>
      </c>
      <c r="O173" s="2">
        <v>5787</v>
      </c>
      <c r="P173" s="301">
        <v>0.17430197885605855</v>
      </c>
      <c r="Q173" s="14">
        <v>260.60606060606</v>
      </c>
      <c r="R173" s="2">
        <v>6180</v>
      </c>
      <c r="S173" s="301">
        <v>0.17674312188983585</v>
      </c>
      <c r="T173" s="14">
        <v>335.15152</v>
      </c>
      <c r="U173" s="301">
        <v>-6.050471267862572E-2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1780</v>
      </c>
      <c r="B174" s="2">
        <v>3257</v>
      </c>
      <c r="C174" s="301">
        <v>0.26076861489191355</v>
      </c>
      <c r="D174" s="2">
        <v>211.51515151515099</v>
      </c>
      <c r="E174" s="2">
        <v>3649</v>
      </c>
      <c r="F174" s="301">
        <v>0.2731083002769254</v>
      </c>
      <c r="G174" s="14">
        <v>218.78787878787799</v>
      </c>
      <c r="H174" s="2">
        <v>4030</v>
      </c>
      <c r="I174" s="301">
        <v>0.28239086258846613</v>
      </c>
      <c r="J174" s="14">
        <v>326.06060000000002</v>
      </c>
      <c r="K174" s="301">
        <v>0.23733497083205404</v>
      </c>
      <c r="L174" s="2">
        <v>12923</v>
      </c>
      <c r="M174" s="301">
        <v>0.394378662109375</v>
      </c>
      <c r="N174" s="2">
        <v>363.030303030303</v>
      </c>
      <c r="O174" s="2">
        <v>13833</v>
      </c>
      <c r="P174" s="301">
        <v>0.41664407698563294</v>
      </c>
      <c r="Q174" s="14">
        <v>365.45454545454498</v>
      </c>
      <c r="R174" s="2">
        <v>14631</v>
      </c>
      <c r="S174" s="301">
        <v>0.41843505119258706</v>
      </c>
      <c r="T174" s="14">
        <v>386.66665599999999</v>
      </c>
      <c r="U174" s="301">
        <v>0.13216745337769867</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1781</v>
      </c>
      <c r="B175" s="2">
        <v>4244</v>
      </c>
      <c r="C175" s="301">
        <v>0.33979183346677344</v>
      </c>
      <c r="D175" s="2">
        <v>281.21212121212102</v>
      </c>
      <c r="E175" s="2">
        <v>5149</v>
      </c>
      <c r="F175" s="301">
        <v>0.38537534615672481</v>
      </c>
      <c r="G175" s="14">
        <v>283.030303030303</v>
      </c>
      <c r="H175" s="2">
        <v>4665</v>
      </c>
      <c r="I175" s="301">
        <v>0.32688669329409292</v>
      </c>
      <c r="J175" s="14">
        <v>320</v>
      </c>
      <c r="K175" s="301">
        <v>9.9198868991517433E-2</v>
      </c>
      <c r="L175" s="2">
        <v>8293</v>
      </c>
      <c r="M175" s="301">
        <v>0.253082275390625</v>
      </c>
      <c r="N175" s="2">
        <v>456.969696969697</v>
      </c>
      <c r="O175" s="2">
        <v>9000</v>
      </c>
      <c r="P175" s="301">
        <v>0.27107617240444565</v>
      </c>
      <c r="Q175" s="14">
        <v>419.39393939393898</v>
      </c>
      <c r="R175" s="2">
        <v>8871</v>
      </c>
      <c r="S175" s="301">
        <v>0.25370359778070123</v>
      </c>
      <c r="T175" s="14">
        <v>426.06060000000002</v>
      </c>
      <c r="U175" s="301">
        <v>6.969733510189316E-2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1782</v>
      </c>
      <c r="B176" s="2">
        <v>1222</v>
      </c>
      <c r="C176" s="301">
        <v>9.7838270616493195E-2</v>
      </c>
      <c r="D176" s="2">
        <v>158.78787878787799</v>
      </c>
      <c r="E176" s="2">
        <v>1233</v>
      </c>
      <c r="F176" s="301">
        <v>9.2283511713195127E-2</v>
      </c>
      <c r="G176" s="14">
        <v>175.75757575757501</v>
      </c>
      <c r="H176" s="2">
        <v>1314</v>
      </c>
      <c r="I176" s="301">
        <v>9.207483708219466E-2</v>
      </c>
      <c r="J176" s="14">
        <v>173.939392</v>
      </c>
      <c r="K176" s="301">
        <v>7.5286415711947621E-2</v>
      </c>
      <c r="L176" s="2">
        <v>2621</v>
      </c>
      <c r="M176" s="301">
        <v>7.9986572265625E-2</v>
      </c>
      <c r="N176" s="2">
        <v>264.84848484848402</v>
      </c>
      <c r="O176" s="2">
        <v>2572</v>
      </c>
      <c r="P176" s="301">
        <v>7.7467546158248246E-2</v>
      </c>
      <c r="Q176" s="14">
        <v>241.81818181818099</v>
      </c>
      <c r="R176" s="2">
        <v>2850</v>
      </c>
      <c r="S176" s="301">
        <v>8.1507750386089345E-2</v>
      </c>
      <c r="T176" s="14">
        <v>225.454544</v>
      </c>
      <c r="U176" s="301">
        <v>8.7371232354063341E-2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1783</v>
      </c>
      <c r="B177" s="2">
        <v>641</v>
      </c>
      <c r="C177" s="301">
        <v>5.132105684547638E-2</v>
      </c>
      <c r="D177" s="2">
        <v>116.969696969697</v>
      </c>
      <c r="E177" s="2">
        <v>691</v>
      </c>
      <c r="F177" s="301">
        <v>5.1717685801960935E-2</v>
      </c>
      <c r="G177" s="14">
        <v>126.666666666666</v>
      </c>
      <c r="H177" s="2">
        <v>741</v>
      </c>
      <c r="I177" s="301">
        <v>5.1923481185621193E-2</v>
      </c>
      <c r="J177" s="14">
        <v>154.545456</v>
      </c>
      <c r="K177" s="301">
        <v>0.15600624024960999</v>
      </c>
      <c r="L177" s="2">
        <v>1302</v>
      </c>
      <c r="M177" s="301">
        <v>3.973388671875E-2</v>
      </c>
      <c r="N177" s="2">
        <v>186.06060606060601</v>
      </c>
      <c r="O177" s="2">
        <v>1319</v>
      </c>
      <c r="P177" s="301">
        <v>3.972771904460709E-2</v>
      </c>
      <c r="Q177" s="14">
        <v>175.15151515151501</v>
      </c>
      <c r="R177" s="2">
        <v>1382</v>
      </c>
      <c r="S177" s="301">
        <v>3.9524109134587884E-2</v>
      </c>
      <c r="T177" s="14">
        <v>180</v>
      </c>
      <c r="U177" s="301">
        <v>6.1443932411674347E-2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1784</v>
      </c>
      <c r="B178" s="2">
        <v>164</v>
      </c>
      <c r="C178" s="301">
        <v>1.3130504403522819E-2</v>
      </c>
      <c r="D178" s="2">
        <v>60.606060606060602</v>
      </c>
      <c r="E178" s="2">
        <v>196</v>
      </c>
      <c r="F178" s="301">
        <v>1.4669560661627125E-2</v>
      </c>
      <c r="G178" s="14">
        <v>72.727272727272705</v>
      </c>
      <c r="H178" s="2">
        <v>132</v>
      </c>
      <c r="I178" s="301">
        <v>9.2495270128232082E-3</v>
      </c>
      <c r="J178" s="14">
        <v>47.272728000000001</v>
      </c>
      <c r="K178" s="301">
        <v>-0.1951219512195122</v>
      </c>
      <c r="L178" s="2">
        <v>240</v>
      </c>
      <c r="M178" s="301">
        <v>7.32421875E-3</v>
      </c>
      <c r="N178" s="2">
        <v>70.909090909090907</v>
      </c>
      <c r="O178" s="2">
        <v>349</v>
      </c>
      <c r="P178" s="301">
        <v>1.051173157435017E-2</v>
      </c>
      <c r="Q178" s="14">
        <v>95.757575757575694</v>
      </c>
      <c r="R178" s="2">
        <v>220</v>
      </c>
      <c r="S178" s="301">
        <v>6.291826345592862E-3</v>
      </c>
      <c r="T178" s="14">
        <v>61.212119999999999</v>
      </c>
      <c r="U178" s="301">
        <v>-8.3333333333333329E-2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1785</v>
      </c>
      <c r="B179" s="2">
        <v>77</v>
      </c>
      <c r="C179" s="301">
        <v>6.164931945556445E-3</v>
      </c>
      <c r="D179" s="2">
        <v>36.969696969696898</v>
      </c>
      <c r="E179" s="2">
        <v>158</v>
      </c>
      <c r="F179" s="301">
        <v>1.1825462166005539E-2</v>
      </c>
      <c r="G179" s="14">
        <v>62.424242424242401</v>
      </c>
      <c r="H179" s="2">
        <v>198</v>
      </c>
      <c r="I179" s="301">
        <v>1.3874290519234812E-2</v>
      </c>
      <c r="J179" s="14">
        <v>77.575760000000002</v>
      </c>
      <c r="K179" s="301">
        <v>1.5714285714285714</v>
      </c>
      <c r="L179" s="2">
        <v>189</v>
      </c>
      <c r="M179" s="301">
        <v>5.767822265625E-3</v>
      </c>
      <c r="N179" s="2">
        <v>56.363636363636303</v>
      </c>
      <c r="O179" s="2">
        <v>260</v>
      </c>
      <c r="P179" s="301">
        <v>7.8310894250173194E-3</v>
      </c>
      <c r="Q179" s="14">
        <v>77.575757575757507</v>
      </c>
      <c r="R179" s="2">
        <v>419</v>
      </c>
      <c r="S179" s="301">
        <v>1.1983069267288224E-2</v>
      </c>
      <c r="T179" s="14">
        <v>104.242424</v>
      </c>
      <c r="U179" s="301">
        <v>1.216931216931217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1786</v>
      </c>
      <c r="B180" s="2">
        <v>400</v>
      </c>
      <c r="C180" s="301">
        <v>3.2025620496397116E-2</v>
      </c>
      <c r="D180" s="2">
        <v>98.181818181818201</v>
      </c>
      <c r="E180" s="2">
        <v>337</v>
      </c>
      <c r="F180" s="301">
        <v>2.5222662974328267E-2</v>
      </c>
      <c r="G180" s="14">
        <v>86.6666666666666</v>
      </c>
      <c r="H180" s="2">
        <v>411</v>
      </c>
      <c r="I180" s="301">
        <v>2.8799663653563169E-2</v>
      </c>
      <c r="J180" s="14">
        <v>118.78788</v>
      </c>
      <c r="K180" s="301">
        <v>2.75E-2</v>
      </c>
      <c r="L180" s="2">
        <v>873</v>
      </c>
      <c r="M180" s="301">
        <v>2.6641845703125E-2</v>
      </c>
      <c r="N180" s="2">
        <v>153.939393939393</v>
      </c>
      <c r="O180" s="2">
        <v>710</v>
      </c>
      <c r="P180" s="301">
        <v>2.13848980452396E-2</v>
      </c>
      <c r="Q180" s="14">
        <v>126.666666666666</v>
      </c>
      <c r="R180" s="2">
        <v>743</v>
      </c>
      <c r="S180" s="301">
        <v>2.1249213521706802E-2</v>
      </c>
      <c r="T180" s="14">
        <v>143.636368</v>
      </c>
      <c r="U180" s="301">
        <v>-0.14891179839633448</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1787</v>
      </c>
      <c r="B181" s="2">
        <v>581</v>
      </c>
      <c r="C181" s="301">
        <v>4.6517213771016815E-2</v>
      </c>
      <c r="D181" s="2">
        <v>126.06060606060601</v>
      </c>
      <c r="E181" s="2">
        <v>542</v>
      </c>
      <c r="F181" s="301">
        <v>4.0565825911234192E-2</v>
      </c>
      <c r="G181" s="14">
        <v>106.666666666666</v>
      </c>
      <c r="H181" s="2">
        <v>573</v>
      </c>
      <c r="I181" s="301">
        <v>4.0151355896573468E-2</v>
      </c>
      <c r="J181" s="14">
        <v>106.060608</v>
      </c>
      <c r="K181" s="301">
        <v>-1.3769363166953529E-2</v>
      </c>
      <c r="L181" s="2">
        <v>1319</v>
      </c>
      <c r="M181" s="301">
        <v>4.0252685546875E-2</v>
      </c>
      <c r="N181" s="2">
        <v>186.06060606060601</v>
      </c>
      <c r="O181" s="2">
        <v>1253</v>
      </c>
      <c r="P181" s="301">
        <v>3.7739827113641156E-2</v>
      </c>
      <c r="Q181" s="14">
        <v>149.09090909090901</v>
      </c>
      <c r="R181" s="2">
        <v>1468</v>
      </c>
      <c r="S181" s="301">
        <v>4.1983641251501461E-2</v>
      </c>
      <c r="T181" s="14">
        <v>164.84848</v>
      </c>
      <c r="U181" s="301">
        <v>0.11296436694465505</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1788</v>
      </c>
      <c r="B182" s="2">
        <v>3022</v>
      </c>
      <c r="C182" s="301">
        <v>0.24195356285028022</v>
      </c>
      <c r="D182" s="2">
        <v>208.48484848484799</v>
      </c>
      <c r="E182" s="2">
        <v>3916</v>
      </c>
      <c r="F182" s="301">
        <v>0.29309183444352965</v>
      </c>
      <c r="G182" s="14">
        <v>243.636363636363</v>
      </c>
      <c r="H182" s="2">
        <v>3351</v>
      </c>
      <c r="I182" s="301">
        <v>0.23481185621189826</v>
      </c>
      <c r="J182" s="14">
        <v>268.48486300000002</v>
      </c>
      <c r="K182" s="301">
        <v>0.10886829913964262</v>
      </c>
      <c r="L182" s="2">
        <v>5672</v>
      </c>
      <c r="M182" s="301">
        <v>0.173095703125</v>
      </c>
      <c r="N182" s="2">
        <v>286.06060606060601</v>
      </c>
      <c r="O182" s="2">
        <v>6428</v>
      </c>
      <c r="P182" s="301">
        <v>0.1936086262461974</v>
      </c>
      <c r="Q182" s="14">
        <v>372.12121212121201</v>
      </c>
      <c r="R182" s="2">
        <v>6021</v>
      </c>
      <c r="S182" s="301">
        <v>0.17219584739461191</v>
      </c>
      <c r="T182" s="14">
        <v>366.06060000000002</v>
      </c>
      <c r="U182" s="301">
        <v>6.1530324400564176E-2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1783</v>
      </c>
      <c r="B183" s="2">
        <v>2064</v>
      </c>
      <c r="C183" s="301">
        <v>0.16525220176140912</v>
      </c>
      <c r="D183" s="2">
        <v>149.69696969696901</v>
      </c>
      <c r="E183" s="2">
        <v>2720</v>
      </c>
      <c r="F183" s="301">
        <v>0.20357757652870295</v>
      </c>
      <c r="G183" s="14">
        <v>229.09090909090901</v>
      </c>
      <c r="H183" s="2">
        <v>2002</v>
      </c>
      <c r="I183" s="301">
        <v>0.14028449302781865</v>
      </c>
      <c r="J183" s="14">
        <v>210.30302399999999</v>
      </c>
      <c r="K183" s="301">
        <v>-3.0038759689922482E-2</v>
      </c>
      <c r="L183" s="2">
        <v>3488</v>
      </c>
      <c r="M183" s="301">
        <v>0.1064453125</v>
      </c>
      <c r="N183" s="2">
        <v>227.87878787878699</v>
      </c>
      <c r="O183" s="2">
        <v>4086</v>
      </c>
      <c r="P183" s="301">
        <v>0.12306858227161832</v>
      </c>
      <c r="Q183" s="14">
        <v>318.78787878787801</v>
      </c>
      <c r="R183" s="2">
        <v>3363</v>
      </c>
      <c r="S183" s="301">
        <v>9.6179145455585424E-2</v>
      </c>
      <c r="T183" s="14">
        <v>281.21212800000001</v>
      </c>
      <c r="U183" s="301">
        <v>-3.5837155963302753E-2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1784</v>
      </c>
      <c r="B184" s="2">
        <v>476</v>
      </c>
      <c r="C184" s="301">
        <v>3.8110488390712571E-2</v>
      </c>
      <c r="D184" s="2">
        <v>106.666666666666</v>
      </c>
      <c r="E184" s="2">
        <v>559</v>
      </c>
      <c r="F184" s="301">
        <v>4.1838185764538585E-2</v>
      </c>
      <c r="G184" s="14">
        <v>113.333333333333</v>
      </c>
      <c r="H184" s="2">
        <v>244</v>
      </c>
      <c r="I184" s="301">
        <v>1.7097610538855022E-2</v>
      </c>
      <c r="J184" s="14">
        <v>73.333335899999994</v>
      </c>
      <c r="K184" s="301">
        <v>-0.48739495798319327</v>
      </c>
      <c r="L184" s="2">
        <v>799</v>
      </c>
      <c r="M184" s="301">
        <v>2.4383544921875E-2</v>
      </c>
      <c r="N184" s="2">
        <v>139.39393939393901</v>
      </c>
      <c r="O184" s="2">
        <v>827</v>
      </c>
      <c r="P184" s="301">
        <v>2.4908888286497396E-2</v>
      </c>
      <c r="Q184" s="14">
        <v>135.75757575757501</v>
      </c>
      <c r="R184" s="2">
        <v>586</v>
      </c>
      <c r="S184" s="301">
        <v>1.6759137447806442E-2</v>
      </c>
      <c r="T184" s="14">
        <v>113.333336</v>
      </c>
      <c r="U184" s="301">
        <v>-0.26658322903629539</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1785</v>
      </c>
      <c r="B185" s="2">
        <v>472</v>
      </c>
      <c r="C185" s="301">
        <v>3.7790232185748597E-2</v>
      </c>
      <c r="D185" s="2">
        <v>92.121212121212096</v>
      </c>
      <c r="E185" s="2">
        <v>596</v>
      </c>
      <c r="F185" s="301">
        <v>4.460743956290697E-2</v>
      </c>
      <c r="G185" s="14">
        <v>112.121212121212</v>
      </c>
      <c r="H185" s="2">
        <v>695</v>
      </c>
      <c r="I185" s="301">
        <v>4.8700161166000983E-2</v>
      </c>
      <c r="J185" s="14">
        <v>152.72728000000001</v>
      </c>
      <c r="K185" s="301">
        <v>0.47245762711864409</v>
      </c>
      <c r="L185" s="2">
        <v>614</v>
      </c>
      <c r="M185" s="301">
        <v>1.873779296875E-2</v>
      </c>
      <c r="N185" s="2">
        <v>109.09090909090899</v>
      </c>
      <c r="O185" s="2">
        <v>795</v>
      </c>
      <c r="P185" s="301">
        <v>2.3945061895726032E-2</v>
      </c>
      <c r="Q185" s="14">
        <v>118.787878787878</v>
      </c>
      <c r="R185" s="2">
        <v>989</v>
      </c>
      <c r="S185" s="301">
        <v>2.8284619344506091E-2</v>
      </c>
      <c r="T185" s="14">
        <v>173.939392</v>
      </c>
      <c r="U185" s="301">
        <v>0.61074918566775249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1786</v>
      </c>
      <c r="B186" s="2">
        <v>1116</v>
      </c>
      <c r="C186" s="301">
        <v>8.9351481184947956E-2</v>
      </c>
      <c r="D186" s="2">
        <v>136.969696969696</v>
      </c>
      <c r="E186" s="2">
        <v>1565</v>
      </c>
      <c r="F186" s="301">
        <v>0.1171319512012574</v>
      </c>
      <c r="G186" s="14">
        <v>191.51515151515099</v>
      </c>
      <c r="H186" s="2">
        <v>1063</v>
      </c>
      <c r="I186" s="301">
        <v>7.4486721322962648E-2</v>
      </c>
      <c r="J186" s="14">
        <v>207.27271999999999</v>
      </c>
      <c r="K186" s="301">
        <v>-4.7491039426523295E-2</v>
      </c>
      <c r="L186" s="2">
        <v>2075</v>
      </c>
      <c r="M186" s="301">
        <v>6.3323974609375E-2</v>
      </c>
      <c r="N186" s="2">
        <v>209.09090909090901</v>
      </c>
      <c r="O186" s="2">
        <v>2464</v>
      </c>
      <c r="P186" s="301">
        <v>7.4214632089394897E-2</v>
      </c>
      <c r="Q186" s="14">
        <v>249.69696969696901</v>
      </c>
      <c r="R186" s="2">
        <v>1788</v>
      </c>
      <c r="S186" s="301">
        <v>5.1135388663272892E-2</v>
      </c>
      <c r="T186" s="14">
        <v>266.06060000000002</v>
      </c>
      <c r="U186" s="301">
        <v>-0.13831325301204819</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1787</v>
      </c>
      <c r="B187" s="2">
        <v>958</v>
      </c>
      <c r="C187" s="301">
        <v>7.6701361088871101E-2</v>
      </c>
      <c r="D187" s="2">
        <v>157.575757575757</v>
      </c>
      <c r="E187" s="2">
        <v>1196</v>
      </c>
      <c r="F187" s="301">
        <v>8.9514257914826728E-2</v>
      </c>
      <c r="G187" s="14">
        <v>138.18181818181799</v>
      </c>
      <c r="H187" s="2">
        <v>1349</v>
      </c>
      <c r="I187" s="301">
        <v>9.4527363184079602E-2</v>
      </c>
      <c r="J187" s="14">
        <v>187.27271999999999</v>
      </c>
      <c r="K187" s="301">
        <v>0.40814196242171191</v>
      </c>
      <c r="L187" s="2">
        <v>2184</v>
      </c>
      <c r="M187" s="301">
        <v>6.6650390625E-2</v>
      </c>
      <c r="N187" s="2">
        <v>178.18181818181799</v>
      </c>
      <c r="O187" s="2">
        <v>2342</v>
      </c>
      <c r="P187" s="301">
        <v>7.0540043974579081E-2</v>
      </c>
      <c r="Q187" s="14">
        <v>222.42424242424201</v>
      </c>
      <c r="R187" s="2">
        <v>2658</v>
      </c>
      <c r="S187" s="301">
        <v>7.6016701939026488E-2</v>
      </c>
      <c r="T187" s="14">
        <v>238.78787199999999</v>
      </c>
      <c r="U187" s="301">
        <v>0.21703296703296704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1789</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1706</v>
      </c>
      <c r="C190" s="304"/>
      <c r="D190" s="304" t="s">
        <v>1707</v>
      </c>
      <c r="E190" s="304" t="s">
        <v>1706</v>
      </c>
      <c r="F190" s="304"/>
      <c r="G190" s="304" t="s">
        <v>1707</v>
      </c>
      <c r="H190" s="304" t="s">
        <v>1706</v>
      </c>
      <c r="I190" s="304"/>
      <c r="J190" s="304" t="s">
        <v>1707</v>
      </c>
      <c r="K190" t="s">
        <v>172</v>
      </c>
      <c r="L190" s="304" t="s">
        <v>1706</v>
      </c>
      <c r="M190" s="304"/>
      <c r="N190" s="304" t="s">
        <v>1707</v>
      </c>
      <c r="O190" s="304" t="s">
        <v>1706</v>
      </c>
      <c r="P190" s="304"/>
      <c r="Q190" s="304" t="s">
        <v>1707</v>
      </c>
      <c r="R190" s="304" t="s">
        <v>1706</v>
      </c>
      <c r="S190" s="304"/>
      <c r="T190" s="304" t="s">
        <v>1707</v>
      </c>
      <c r="U190" t="s">
        <v>172</v>
      </c>
      <c r="V190" s="207" t="s">
        <v>1706</v>
      </c>
      <c r="W190" s="207"/>
      <c r="X190" s="207" t="s">
        <v>1707</v>
      </c>
      <c r="Y190" s="207" t="s">
        <v>1706</v>
      </c>
      <c r="Z190" s="207"/>
      <c r="AA190" s="207" t="s">
        <v>1707</v>
      </c>
      <c r="AB190" s="207" t="s">
        <v>1706</v>
      </c>
      <c r="AC190" s="207"/>
      <c r="AD190" s="207" t="s">
        <v>1707</v>
      </c>
      <c r="AE190" t="s">
        <v>172</v>
      </c>
    </row>
    <row r="191" spans="1:31" x14ac:dyDescent="0.3">
      <c r="A191" t="s">
        <v>174</v>
      </c>
      <c r="B191" s="2">
        <v>15857</v>
      </c>
      <c r="C191" t="s">
        <v>172</v>
      </c>
      <c r="D191" s="2">
        <v>297.575757575757</v>
      </c>
      <c r="E191" s="2">
        <v>16791</v>
      </c>
      <c r="F191" t="s">
        <v>172</v>
      </c>
      <c r="G191" s="14">
        <v>318.18181818181802</v>
      </c>
      <c r="H191" s="2">
        <v>17598</v>
      </c>
      <c r="I191" t="s">
        <v>172</v>
      </c>
      <c r="J191" s="14">
        <v>315.75756799999999</v>
      </c>
      <c r="K191" s="301">
        <v>0.1097937819259633</v>
      </c>
      <c r="L191" s="2">
        <v>42089</v>
      </c>
      <c r="M191" t="s">
        <v>172</v>
      </c>
      <c r="N191" s="2">
        <v>393.33333333333297</v>
      </c>
      <c r="O191" s="2">
        <v>43159</v>
      </c>
      <c r="P191" t="s">
        <v>172</v>
      </c>
      <c r="Q191" s="14">
        <v>457.575757575757</v>
      </c>
      <c r="R191" s="2">
        <v>44479</v>
      </c>
      <c r="S191" t="s">
        <v>172</v>
      </c>
      <c r="T191" s="14">
        <v>306.06060000000002</v>
      </c>
      <c r="U191" s="301">
        <v>5.6784432987241319E-2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1790</v>
      </c>
      <c r="B192" s="2">
        <v>3487</v>
      </c>
      <c r="C192" s="301">
        <v>0.21990288200794603</v>
      </c>
      <c r="D192" s="2">
        <v>193.333333333333</v>
      </c>
      <c r="E192" s="2">
        <v>3552</v>
      </c>
      <c r="F192" s="301">
        <v>0.21154189744505986</v>
      </c>
      <c r="G192" s="14">
        <v>189.69696969696901</v>
      </c>
      <c r="H192" s="2">
        <v>4094</v>
      </c>
      <c r="I192" s="301">
        <v>0.23264007273553813</v>
      </c>
      <c r="J192" s="14">
        <v>266.66665599999999</v>
      </c>
      <c r="K192" s="301">
        <v>0.17407513622024662</v>
      </c>
      <c r="L192" s="2">
        <v>10976</v>
      </c>
      <c r="M192" s="301">
        <v>0.26078072655563211</v>
      </c>
      <c r="N192" s="2">
        <v>209.69696969696901</v>
      </c>
      <c r="O192" s="2">
        <v>12785</v>
      </c>
      <c r="P192" s="301">
        <v>0.2962302184944044</v>
      </c>
      <c r="Q192" s="14">
        <v>211.51515151515099</v>
      </c>
      <c r="R192" s="2">
        <v>14581</v>
      </c>
      <c r="S192" s="301">
        <v>0.32781762179905122</v>
      </c>
      <c r="T192" s="14">
        <v>280</v>
      </c>
      <c r="U192" s="301">
        <v>0.32844387755102039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1225</v>
      </c>
      <c r="C193" s="301">
        <v>7.7252948224758783E-2</v>
      </c>
      <c r="D193" s="2">
        <v>138.18181818181799</v>
      </c>
      <c r="E193" s="2">
        <v>1107</v>
      </c>
      <c r="F193" s="301">
        <v>6.5928175808468825E-2</v>
      </c>
      <c r="G193" s="14">
        <v>127.272727272727</v>
      </c>
      <c r="H193" s="2">
        <v>1137</v>
      </c>
      <c r="I193" s="301">
        <v>6.4609614728946468E-2</v>
      </c>
      <c r="J193" s="14">
        <v>169.69697600000001</v>
      </c>
      <c r="K193" s="301">
        <v>-7.1836734693877552E-2</v>
      </c>
      <c r="L193" s="2">
        <v>3151</v>
      </c>
      <c r="M193" s="301">
        <v>7.4865166670626523E-2</v>
      </c>
      <c r="N193" s="2">
        <v>210.30303030303</v>
      </c>
      <c r="O193" s="2">
        <v>3745</v>
      </c>
      <c r="P193" s="301">
        <v>8.6772168029843139E-2</v>
      </c>
      <c r="Q193" s="14">
        <v>235.15151515151501</v>
      </c>
      <c r="R193" s="2">
        <v>3827</v>
      </c>
      <c r="S193" s="301">
        <v>8.604060343083253E-2</v>
      </c>
      <c r="T193" s="14">
        <v>263.03030000000001</v>
      </c>
      <c r="U193" s="301">
        <v>0.2145350682323072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1791</v>
      </c>
      <c r="B194" s="2">
        <v>2262</v>
      </c>
      <c r="C194" s="301">
        <v>0.14264993378318724</v>
      </c>
      <c r="D194" s="2">
        <v>156.363636363636</v>
      </c>
      <c r="E194" s="2">
        <v>2445</v>
      </c>
      <c r="F194" s="301">
        <v>0.14561372163659103</v>
      </c>
      <c r="G194" s="14">
        <v>156.363636363636</v>
      </c>
      <c r="H194" s="2">
        <v>2957</v>
      </c>
      <c r="I194" s="301">
        <v>0.16803045800659167</v>
      </c>
      <c r="J194" s="14">
        <v>240.606064</v>
      </c>
      <c r="K194" s="301">
        <v>0.3072502210433245</v>
      </c>
      <c r="L194" s="2">
        <v>7825</v>
      </c>
      <c r="M194" s="301">
        <v>0.18591555988500558</v>
      </c>
      <c r="N194" s="2">
        <v>204.24242424242399</v>
      </c>
      <c r="O194" s="2">
        <v>9040</v>
      </c>
      <c r="P194" s="301">
        <v>0.20945805046456129</v>
      </c>
      <c r="Q194" s="14">
        <v>224.24242424242399</v>
      </c>
      <c r="R194" s="2">
        <v>10754</v>
      </c>
      <c r="S194" s="301">
        <v>0.24177701836821872</v>
      </c>
      <c r="T194" s="14">
        <v>283.03030000000001</v>
      </c>
      <c r="U194" s="301">
        <v>0.37431309904153354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1792</v>
      </c>
      <c r="B195" s="2">
        <v>2134</v>
      </c>
      <c r="C195" s="301">
        <v>0.13457778898908998</v>
      </c>
      <c r="D195" s="2">
        <v>158.78787878787799</v>
      </c>
      <c r="E195" s="2">
        <v>2381</v>
      </c>
      <c r="F195" s="301">
        <v>0.14180215591686021</v>
      </c>
      <c r="G195" s="14">
        <v>153.333333333333</v>
      </c>
      <c r="H195" s="2">
        <v>2777</v>
      </c>
      <c r="I195" s="301">
        <v>0.15780202295715423</v>
      </c>
      <c r="J195" s="14">
        <v>235.15152</v>
      </c>
      <c r="K195" s="301">
        <v>0.3013120899718838</v>
      </c>
      <c r="L195" s="2">
        <v>7477</v>
      </c>
      <c r="M195" s="301">
        <v>0.17764736629523153</v>
      </c>
      <c r="N195" s="2">
        <v>218.78787878787799</v>
      </c>
      <c r="O195" s="2">
        <v>8689</v>
      </c>
      <c r="P195" s="301">
        <v>0.20132533191223151</v>
      </c>
      <c r="Q195" s="14">
        <v>221.21212121212099</v>
      </c>
      <c r="R195" s="2">
        <v>10215</v>
      </c>
      <c r="S195" s="301">
        <v>0.2296589401740147</v>
      </c>
      <c r="T195" s="14">
        <v>294.54544099999998</v>
      </c>
      <c r="U195" s="301">
        <v>0.36618964825464756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1793</v>
      </c>
      <c r="B196" s="2">
        <v>128</v>
      </c>
      <c r="C196" s="301">
        <v>8.0721447940972444E-3</v>
      </c>
      <c r="D196" s="2">
        <v>47.272727272727202</v>
      </c>
      <c r="E196" s="2">
        <v>64</v>
      </c>
      <c r="F196" s="301">
        <v>3.8115657197308082E-3</v>
      </c>
      <c r="G196" s="14">
        <v>26.060606060605998</v>
      </c>
      <c r="H196" s="2">
        <v>180</v>
      </c>
      <c r="I196" s="301">
        <v>1.0228435049437436E-2</v>
      </c>
      <c r="J196" s="14">
        <v>80.606063800000001</v>
      </c>
      <c r="K196" s="301">
        <v>0.40625</v>
      </c>
      <c r="L196" s="2">
        <v>348</v>
      </c>
      <c r="M196" s="301">
        <v>8.2681935897740508E-3</v>
      </c>
      <c r="N196" s="2">
        <v>75.151515151515099</v>
      </c>
      <c r="O196" s="2">
        <v>351</v>
      </c>
      <c r="P196" s="301">
        <v>8.1327185523297572E-3</v>
      </c>
      <c r="Q196" s="14">
        <v>72.121212121212096</v>
      </c>
      <c r="R196" s="2">
        <v>539</v>
      </c>
      <c r="S196" s="301">
        <v>1.2118078194204006E-2</v>
      </c>
      <c r="T196" s="14">
        <v>119.393936</v>
      </c>
      <c r="U196" s="301">
        <v>0.54885057471264365</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1794</v>
      </c>
      <c r="B197" s="2">
        <v>12370</v>
      </c>
      <c r="C197" s="301">
        <v>0.78009711799205395</v>
      </c>
      <c r="D197" s="2">
        <v>253.333333333333</v>
      </c>
      <c r="E197" s="2">
        <v>13239</v>
      </c>
      <c r="F197" s="301">
        <v>0.7884581025549402</v>
      </c>
      <c r="G197" s="14">
        <v>288.48484848484799</v>
      </c>
      <c r="H197" s="2">
        <v>13504</v>
      </c>
      <c r="I197" s="301">
        <v>0.76735992726446189</v>
      </c>
      <c r="J197" s="14">
        <v>273.93939999999998</v>
      </c>
      <c r="K197" s="301">
        <v>9.1673403395311243E-2</v>
      </c>
      <c r="L197" s="2">
        <v>31113</v>
      </c>
      <c r="M197" s="301">
        <v>0.73921927344436789</v>
      </c>
      <c r="N197" s="2">
        <v>364.84848484848402</v>
      </c>
      <c r="O197" s="2">
        <v>30374</v>
      </c>
      <c r="P197" s="301">
        <v>0.70376978150559555</v>
      </c>
      <c r="Q197" s="14">
        <v>418.78787878787801</v>
      </c>
      <c r="R197" s="2">
        <v>29898</v>
      </c>
      <c r="S197" s="301">
        <v>0.67218237820094873</v>
      </c>
      <c r="T197" s="14">
        <v>350.90910000000002</v>
      </c>
      <c r="U197" s="301">
        <v>-3.905120046282904E-2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1795</v>
      </c>
      <c r="B198" s="2">
        <v>1589</v>
      </c>
      <c r="C198" s="301">
        <v>0.10020810998297282</v>
      </c>
      <c r="D198" s="2">
        <v>174.54545454545399</v>
      </c>
      <c r="E198" s="2">
        <v>1915</v>
      </c>
      <c r="F198" s="301">
        <v>0.11404919302007027</v>
      </c>
      <c r="G198" s="14">
        <v>242.42424242424201</v>
      </c>
      <c r="H198" s="2">
        <v>1357</v>
      </c>
      <c r="I198" s="301">
        <v>7.7111035344925555E-2</v>
      </c>
      <c r="J198" s="14">
        <v>171.515152</v>
      </c>
      <c r="K198" s="301">
        <v>-0.14600377595972311</v>
      </c>
      <c r="L198" s="2">
        <v>4764</v>
      </c>
      <c r="M198" s="301">
        <v>0.1131887191427689</v>
      </c>
      <c r="N198" s="2">
        <v>252.72727272727201</v>
      </c>
      <c r="O198" s="2">
        <v>4692</v>
      </c>
      <c r="P198" s="301">
        <v>0.10871428902430548</v>
      </c>
      <c r="Q198" s="14">
        <v>313.93939393939303</v>
      </c>
      <c r="R198" s="2">
        <v>3561</v>
      </c>
      <c r="S198" s="301">
        <v>8.0060253153173402E-2</v>
      </c>
      <c r="T198" s="14">
        <v>233.939392</v>
      </c>
      <c r="U198" s="301">
        <v>-0.25251889168765745</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1791</v>
      </c>
      <c r="B199" s="2">
        <v>10781</v>
      </c>
      <c r="C199" s="301">
        <v>0.67988900800908114</v>
      </c>
      <c r="D199" s="2">
        <v>257.575757575757</v>
      </c>
      <c r="E199" s="2">
        <v>11324</v>
      </c>
      <c r="F199" s="301">
        <v>0.67440890953486987</v>
      </c>
      <c r="G199" s="14">
        <v>268.48484848484799</v>
      </c>
      <c r="H199" s="2">
        <v>12147</v>
      </c>
      <c r="I199" s="301">
        <v>0.69024889191953631</v>
      </c>
      <c r="J199" s="14">
        <v>246.060608</v>
      </c>
      <c r="K199" s="301">
        <v>0.12670438734811243</v>
      </c>
      <c r="L199" s="2">
        <v>26349</v>
      </c>
      <c r="M199" s="301">
        <v>0.62603055430159904</v>
      </c>
      <c r="N199" s="2">
        <v>413.33333333333297</v>
      </c>
      <c r="O199" s="2">
        <v>25682</v>
      </c>
      <c r="P199" s="301">
        <v>0.59505549248129008</v>
      </c>
      <c r="Q199" s="14">
        <v>454.54545454545399</v>
      </c>
      <c r="R199" s="2">
        <v>26337</v>
      </c>
      <c r="S199" s="301">
        <v>0.59212212504777539</v>
      </c>
      <c r="T199" s="14">
        <v>338.18182400000001</v>
      </c>
      <c r="U199" s="301">
        <v>-4.5542525333029714E-4</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1792</v>
      </c>
      <c r="B200" s="2">
        <v>10356</v>
      </c>
      <c r="C200" s="301">
        <v>0.65308696474743011</v>
      </c>
      <c r="D200" s="2">
        <v>255.75757575757501</v>
      </c>
      <c r="E200" s="2">
        <v>10980</v>
      </c>
      <c r="F200" s="301">
        <v>0.65392174379131673</v>
      </c>
      <c r="G200" s="14">
        <v>246.06060606060601</v>
      </c>
      <c r="H200" s="2">
        <v>11494</v>
      </c>
      <c r="I200" s="301">
        <v>0.65314240254574385</v>
      </c>
      <c r="J200" s="14">
        <v>259.39395100000002</v>
      </c>
      <c r="K200" s="301">
        <v>0.10988798764001545</v>
      </c>
      <c r="L200" s="2">
        <v>25291</v>
      </c>
      <c r="M200" s="301">
        <v>0.60089334505452729</v>
      </c>
      <c r="N200" s="2">
        <v>414.54545454545399</v>
      </c>
      <c r="O200" s="2">
        <v>24512</v>
      </c>
      <c r="P200" s="301">
        <v>0.5679464306401909</v>
      </c>
      <c r="Q200" s="14">
        <v>431.51515151515099</v>
      </c>
      <c r="R200" s="2">
        <v>24751</v>
      </c>
      <c r="S200" s="301">
        <v>0.55646484858022882</v>
      </c>
      <c r="T200" s="14">
        <v>382.42425500000002</v>
      </c>
      <c r="U200" s="301">
        <v>-2.1351468901980943E-2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1793</v>
      </c>
      <c r="B201" s="2">
        <v>425</v>
      </c>
      <c r="C201" s="301">
        <v>2.6802043261651008E-2</v>
      </c>
      <c r="D201" s="2">
        <v>99.393939393939405</v>
      </c>
      <c r="E201" s="2">
        <v>344</v>
      </c>
      <c r="F201" s="301">
        <v>2.0487165743553092E-2</v>
      </c>
      <c r="G201" s="14">
        <v>93.939393939393895</v>
      </c>
      <c r="H201" s="2">
        <v>653</v>
      </c>
      <c r="I201" s="301">
        <v>3.7106489373792476E-2</v>
      </c>
      <c r="J201" s="14">
        <v>135.15152</v>
      </c>
      <c r="K201" s="301">
        <v>0.53647058823529414</v>
      </c>
      <c r="L201" s="2">
        <v>1058</v>
      </c>
      <c r="M201" s="301">
        <v>2.513720924707168E-2</v>
      </c>
      <c r="N201" s="2">
        <v>145.45454545454501</v>
      </c>
      <c r="O201" s="2">
        <v>1170</v>
      </c>
      <c r="P201" s="301">
        <v>2.7109061841099191E-2</v>
      </c>
      <c r="Q201" s="14">
        <v>152.12121212121201</v>
      </c>
      <c r="R201" s="2">
        <v>1586</v>
      </c>
      <c r="S201" s="301">
        <v>3.5657276467546482E-2</v>
      </c>
      <c r="T201" s="14">
        <v>226.060608</v>
      </c>
      <c r="U201" s="301">
        <v>0.49905482041587901</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1796</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1706</v>
      </c>
      <c r="C204" s="304"/>
      <c r="D204" s="304" t="s">
        <v>1707</v>
      </c>
      <c r="E204" s="304" t="s">
        <v>1706</v>
      </c>
      <c r="F204" s="304"/>
      <c r="G204" s="304" t="s">
        <v>1707</v>
      </c>
      <c r="H204" s="304" t="s">
        <v>1706</v>
      </c>
      <c r="I204" s="304"/>
      <c r="J204" s="304" t="s">
        <v>1707</v>
      </c>
      <c r="K204" t="s">
        <v>172</v>
      </c>
      <c r="L204" s="304" t="s">
        <v>1706</v>
      </c>
      <c r="M204" s="304"/>
      <c r="N204" s="304" t="s">
        <v>1707</v>
      </c>
      <c r="O204" s="304" t="s">
        <v>1706</v>
      </c>
      <c r="P204" s="304"/>
      <c r="Q204" s="304" t="s">
        <v>1707</v>
      </c>
      <c r="R204" s="304" t="s">
        <v>1706</v>
      </c>
      <c r="S204" s="304"/>
      <c r="T204" s="304" t="s">
        <v>1707</v>
      </c>
      <c r="U204" t="s">
        <v>172</v>
      </c>
      <c r="V204" s="207" t="s">
        <v>1706</v>
      </c>
      <c r="W204" s="207"/>
      <c r="X204" s="207" t="s">
        <v>1707</v>
      </c>
      <c r="Y204" s="207" t="s">
        <v>1706</v>
      </c>
      <c r="Z204" s="207"/>
      <c r="AA204" s="207" t="s">
        <v>1707</v>
      </c>
      <c r="AB204" s="207" t="s">
        <v>1706</v>
      </c>
      <c r="AC204" s="207"/>
      <c r="AD204" s="207" t="s">
        <v>1707</v>
      </c>
      <c r="AE204" t="s">
        <v>172</v>
      </c>
    </row>
    <row r="205" spans="1:31" x14ac:dyDescent="0.3">
      <c r="A205" t="s">
        <v>174</v>
      </c>
      <c r="B205" s="2">
        <v>3367</v>
      </c>
      <c r="C205" t="s">
        <v>172</v>
      </c>
      <c r="D205" s="2">
        <v>252.12121212121201</v>
      </c>
      <c r="E205" s="2">
        <v>3430</v>
      </c>
      <c r="F205" t="s">
        <v>172</v>
      </c>
      <c r="G205" s="14">
        <v>283.636363636363</v>
      </c>
      <c r="H205" s="2">
        <v>3327</v>
      </c>
      <c r="I205" t="s">
        <v>172</v>
      </c>
      <c r="J205" s="14">
        <v>261.81817599999999</v>
      </c>
      <c r="K205" s="301">
        <v>-1.188001188001188E-2</v>
      </c>
      <c r="L205" s="2">
        <v>9321</v>
      </c>
      <c r="M205" t="s">
        <v>172</v>
      </c>
      <c r="N205" s="2">
        <v>335.75757575757501</v>
      </c>
      <c r="O205" s="2">
        <v>9958</v>
      </c>
      <c r="P205" t="s">
        <v>172</v>
      </c>
      <c r="Q205" s="14">
        <v>418.78787878787801</v>
      </c>
      <c r="R205" s="2">
        <v>9513</v>
      </c>
      <c r="S205" t="s">
        <v>172</v>
      </c>
      <c r="T205" s="14">
        <v>389.09089999999998</v>
      </c>
      <c r="U205" s="301">
        <v>2.0598648213710977E-2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1797</v>
      </c>
      <c r="B206" s="2">
        <v>1510</v>
      </c>
      <c r="C206" s="301">
        <v>0.44847044847044848</v>
      </c>
      <c r="D206" s="2">
        <v>168.48484848484799</v>
      </c>
      <c r="E206" s="2">
        <v>1461</v>
      </c>
      <c r="F206" s="301">
        <v>0.42594752186588919</v>
      </c>
      <c r="G206" s="14">
        <v>187.87878787878699</v>
      </c>
      <c r="H206" s="2">
        <v>1512</v>
      </c>
      <c r="I206" s="301">
        <v>0.45446348061316499</v>
      </c>
      <c r="J206" s="14">
        <v>184.24243200000001</v>
      </c>
      <c r="K206" s="301">
        <v>1.3245033112582781E-3</v>
      </c>
      <c r="L206" s="2">
        <v>4390</v>
      </c>
      <c r="M206" s="301">
        <v>0.47097950863641241</v>
      </c>
      <c r="N206" s="2">
        <v>244.24242424242399</v>
      </c>
      <c r="O206" s="2">
        <v>4607</v>
      </c>
      <c r="P206" s="301">
        <v>0.46264310102430206</v>
      </c>
      <c r="Q206" s="14">
        <v>286.666666666666</v>
      </c>
      <c r="R206" s="2">
        <v>4395</v>
      </c>
      <c r="S206" s="301">
        <v>0.46199936928413748</v>
      </c>
      <c r="T206" s="14">
        <v>264.84848</v>
      </c>
      <c r="U206" s="301">
        <v>1.1389521640091116E-3</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1194</v>
      </c>
      <c r="C207" s="301">
        <v>0.35461835461835461</v>
      </c>
      <c r="D207" s="2">
        <v>161.21212121212099</v>
      </c>
      <c r="E207" s="2">
        <v>1314</v>
      </c>
      <c r="F207" s="301">
        <v>0.38309037900874637</v>
      </c>
      <c r="G207" s="14">
        <v>184.24242424242399</v>
      </c>
      <c r="H207" s="2">
        <v>1065</v>
      </c>
      <c r="I207" s="301">
        <v>0.3201082055906222</v>
      </c>
      <c r="J207" s="14">
        <v>155.75756799999999</v>
      </c>
      <c r="K207" s="301">
        <v>-0.10804020100502512</v>
      </c>
      <c r="L207" s="2">
        <v>3562</v>
      </c>
      <c r="M207" s="301">
        <v>0.38214783821478382</v>
      </c>
      <c r="N207" s="2">
        <v>210.90909090909</v>
      </c>
      <c r="O207" s="2">
        <v>3816</v>
      </c>
      <c r="P207" s="301">
        <v>0.38320947981522396</v>
      </c>
      <c r="Q207" s="14">
        <v>294.54545454545399</v>
      </c>
      <c r="R207" s="2">
        <v>3234</v>
      </c>
      <c r="S207" s="301">
        <v>0.33995584988962474</v>
      </c>
      <c r="T207" s="14">
        <v>230.909088</v>
      </c>
      <c r="U207" s="301">
        <v>-9.2083099382369457E-2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1798</v>
      </c>
      <c r="B208" s="2">
        <v>873</v>
      </c>
      <c r="C208" s="301">
        <v>0.25928125928125928</v>
      </c>
      <c r="D208" s="2">
        <v>132.12121212121201</v>
      </c>
      <c r="E208" s="2">
        <v>957</v>
      </c>
      <c r="F208" s="301">
        <v>0.27900874635568512</v>
      </c>
      <c r="G208" s="14">
        <v>168.48484848484799</v>
      </c>
      <c r="H208" s="2">
        <v>748</v>
      </c>
      <c r="I208" s="301">
        <v>0.22482717162608956</v>
      </c>
      <c r="J208" s="14">
        <v>133.939392</v>
      </c>
      <c r="K208" s="301">
        <v>-0.14318442153493699</v>
      </c>
      <c r="L208" s="2">
        <v>2650</v>
      </c>
      <c r="M208" s="301">
        <v>0.28430425919965668</v>
      </c>
      <c r="N208" s="2">
        <v>194.54545454545399</v>
      </c>
      <c r="O208" s="2">
        <v>2645</v>
      </c>
      <c r="P208" s="301">
        <v>0.26561558545892749</v>
      </c>
      <c r="Q208" s="14">
        <v>258.78787878787801</v>
      </c>
      <c r="R208" s="2">
        <v>1930</v>
      </c>
      <c r="S208" s="301">
        <v>0.20288026910543466</v>
      </c>
      <c r="T208" s="14">
        <v>200.606064</v>
      </c>
      <c r="U208" s="301">
        <v>-0.27169811320754716</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1799</v>
      </c>
      <c r="B209" s="2">
        <v>321</v>
      </c>
      <c r="C209" s="301">
        <v>9.5337095337095334E-2</v>
      </c>
      <c r="D209" s="2">
        <v>72.727272727272705</v>
      </c>
      <c r="E209" s="2">
        <v>357</v>
      </c>
      <c r="F209" s="301">
        <v>0.10408163265306122</v>
      </c>
      <c r="G209" s="14">
        <v>77.575757575757507</v>
      </c>
      <c r="H209" s="2">
        <v>317</v>
      </c>
      <c r="I209" s="301">
        <v>9.5281033964532608E-2</v>
      </c>
      <c r="J209" s="14">
        <v>91.515150000000006</v>
      </c>
      <c r="K209" s="301">
        <v>-1.2461059190031152E-2</v>
      </c>
      <c r="L209" s="2">
        <v>912</v>
      </c>
      <c r="M209" s="301">
        <v>9.7843579015127136E-2</v>
      </c>
      <c r="N209" s="2">
        <v>118.787878787878</v>
      </c>
      <c r="O209" s="2">
        <v>1171</v>
      </c>
      <c r="P209" s="301">
        <v>0.11759389435629644</v>
      </c>
      <c r="Q209" s="14">
        <v>141.21212121212099</v>
      </c>
      <c r="R209" s="2">
        <v>1304</v>
      </c>
      <c r="S209" s="301">
        <v>0.13707558078419005</v>
      </c>
      <c r="T209" s="14">
        <v>156.363632</v>
      </c>
      <c r="U209" s="301">
        <v>0.42982456140350878</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1800</v>
      </c>
      <c r="B210" s="2">
        <v>316</v>
      </c>
      <c r="C210" s="301">
        <v>9.3852093852093851E-2</v>
      </c>
      <c r="D210" s="2">
        <v>82.424242424242394</v>
      </c>
      <c r="E210" s="2">
        <v>147</v>
      </c>
      <c r="F210" s="301">
        <v>4.2857142857142858E-2</v>
      </c>
      <c r="G210" s="14">
        <v>48.484848484848399</v>
      </c>
      <c r="H210" s="2">
        <v>447</v>
      </c>
      <c r="I210" s="301">
        <v>0.13435527502254282</v>
      </c>
      <c r="J210" s="14">
        <v>113.939392</v>
      </c>
      <c r="K210" s="301">
        <v>0.41455696202531644</v>
      </c>
      <c r="L210" s="2">
        <v>828</v>
      </c>
      <c r="M210" s="301">
        <v>8.8831670421628581E-2</v>
      </c>
      <c r="N210" s="2">
        <v>120.60606060606</v>
      </c>
      <c r="O210" s="2">
        <v>791</v>
      </c>
      <c r="P210" s="301">
        <v>7.9433621209078126E-2</v>
      </c>
      <c r="Q210" s="14">
        <v>121.818181818181</v>
      </c>
      <c r="R210" s="2">
        <v>1161</v>
      </c>
      <c r="S210" s="301">
        <v>0.12204351939451277</v>
      </c>
      <c r="T210" s="14">
        <v>178.18182400000001</v>
      </c>
      <c r="U210" s="301">
        <v>0.40217391304347827</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1798</v>
      </c>
      <c r="B211" s="2">
        <v>292</v>
      </c>
      <c r="C211" s="301">
        <v>8.6724086724086727E-2</v>
      </c>
      <c r="D211" s="2">
        <v>86.6666666666666</v>
      </c>
      <c r="E211" s="2">
        <v>139</v>
      </c>
      <c r="F211" s="301">
        <v>4.0524781341107874E-2</v>
      </c>
      <c r="G211" s="14">
        <v>48.484848484848399</v>
      </c>
      <c r="H211" s="2">
        <v>346</v>
      </c>
      <c r="I211" s="301">
        <v>0.10399759543131951</v>
      </c>
      <c r="J211" s="14">
        <v>101.818184</v>
      </c>
      <c r="K211" s="301">
        <v>0.18493150684931506</v>
      </c>
      <c r="L211" s="2">
        <v>641</v>
      </c>
      <c r="M211" s="301">
        <v>6.876944533848299E-2</v>
      </c>
      <c r="N211" s="2">
        <v>115.757575757575</v>
      </c>
      <c r="O211" s="2">
        <v>633</v>
      </c>
      <c r="P211" s="301">
        <v>6.3566981321550517E-2</v>
      </c>
      <c r="Q211" s="14">
        <v>118.181818181818</v>
      </c>
      <c r="R211" s="2">
        <v>967</v>
      </c>
      <c r="S211" s="301">
        <v>0.10165037317355198</v>
      </c>
      <c r="T211" s="14">
        <v>168.484848</v>
      </c>
      <c r="U211" s="301">
        <v>0.50858034321372858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1799</v>
      </c>
      <c r="B212" s="2">
        <v>24</v>
      </c>
      <c r="C212" s="301">
        <v>7.1280071280071279E-3</v>
      </c>
      <c r="D212" s="2">
        <v>16.969696969696901</v>
      </c>
      <c r="E212" s="2">
        <v>8</v>
      </c>
      <c r="F212" s="301">
        <v>2.3323615160349854E-3</v>
      </c>
      <c r="G212" s="14">
        <v>7.2727272727272698</v>
      </c>
      <c r="H212" s="2">
        <v>101</v>
      </c>
      <c r="I212" s="301">
        <v>3.0357679591223326E-2</v>
      </c>
      <c r="J212" s="14">
        <v>52.727271999999999</v>
      </c>
      <c r="K212" s="301">
        <v>3.2083333333333335</v>
      </c>
      <c r="L212" s="2">
        <v>187</v>
      </c>
      <c r="M212" s="301">
        <v>2.0062225083145584E-2</v>
      </c>
      <c r="N212" s="2">
        <v>55.757575757575701</v>
      </c>
      <c r="O212" s="2">
        <v>158</v>
      </c>
      <c r="P212" s="301">
        <v>1.5866639887527616E-2</v>
      </c>
      <c r="Q212" s="14">
        <v>43.030303030303003</v>
      </c>
      <c r="R212" s="2">
        <v>194</v>
      </c>
      <c r="S212" s="301">
        <v>2.0393146220960792E-2</v>
      </c>
      <c r="T212" s="14">
        <v>70.303030000000007</v>
      </c>
      <c r="U212" s="301">
        <v>3.7433155080213901E-2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1801</v>
      </c>
      <c r="B213" s="2">
        <v>1857</v>
      </c>
      <c r="C213" s="301">
        <v>0.55152955152955152</v>
      </c>
      <c r="D213" s="2">
        <v>165.45454545454501</v>
      </c>
      <c r="E213" s="2">
        <v>1969</v>
      </c>
      <c r="F213" s="301">
        <v>0.57405247813411076</v>
      </c>
      <c r="G213" s="14">
        <v>211.51515151515099</v>
      </c>
      <c r="H213" s="2">
        <v>1815</v>
      </c>
      <c r="I213" s="301">
        <v>0.54553651938683501</v>
      </c>
      <c r="J213" s="14">
        <v>198.78787199999999</v>
      </c>
      <c r="K213" s="301">
        <v>-2.2617124394184167E-2</v>
      </c>
      <c r="L213" s="2">
        <v>4931</v>
      </c>
      <c r="M213" s="301">
        <v>0.52902049136358764</v>
      </c>
      <c r="N213" s="2">
        <v>244.84848484848399</v>
      </c>
      <c r="O213" s="2">
        <v>5351</v>
      </c>
      <c r="P213" s="301">
        <v>0.53735689897569794</v>
      </c>
      <c r="Q213" s="14">
        <v>286.666666666666</v>
      </c>
      <c r="R213" s="2">
        <v>5118</v>
      </c>
      <c r="S213" s="301">
        <v>0.53800063071586246</v>
      </c>
      <c r="T213" s="14">
        <v>308.48486300000002</v>
      </c>
      <c r="U213" s="301">
        <v>3.7923342121273573E-2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1620</v>
      </c>
      <c r="C214" s="301">
        <v>0.48114048114048114</v>
      </c>
      <c r="D214" s="2">
        <v>158.18181818181799</v>
      </c>
      <c r="E214" s="2">
        <v>1708</v>
      </c>
      <c r="F214" s="301">
        <v>0.49795918367346936</v>
      </c>
      <c r="G214" s="14">
        <v>198.18181818181799</v>
      </c>
      <c r="H214" s="2">
        <v>1429</v>
      </c>
      <c r="I214" s="301">
        <v>0.42951608055305079</v>
      </c>
      <c r="J214" s="14">
        <v>182.42424</v>
      </c>
      <c r="K214" s="301">
        <v>-0.11790123456790123</v>
      </c>
      <c r="L214" s="2">
        <v>4353</v>
      </c>
      <c r="M214" s="301">
        <v>0.46700997747022854</v>
      </c>
      <c r="N214" s="2">
        <v>240</v>
      </c>
      <c r="O214" s="2">
        <v>4621</v>
      </c>
      <c r="P214" s="301">
        <v>0.46404900582446273</v>
      </c>
      <c r="Q214" s="14">
        <v>286.666666666666</v>
      </c>
      <c r="R214" s="2">
        <v>4154</v>
      </c>
      <c r="S214" s="301">
        <v>0.43666561547356247</v>
      </c>
      <c r="T214" s="14">
        <v>266.66665599999999</v>
      </c>
      <c r="U214" s="301">
        <v>-4.5715598437858947E-2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1798</v>
      </c>
      <c r="B215" s="2">
        <v>716</v>
      </c>
      <c r="C215" s="301">
        <v>0.21265221265221265</v>
      </c>
      <c r="D215" s="2">
        <v>104.84848484848401</v>
      </c>
      <c r="E215" s="2">
        <v>958</v>
      </c>
      <c r="F215" s="301">
        <v>0.27930029154518948</v>
      </c>
      <c r="G215" s="14">
        <v>166.666666666666</v>
      </c>
      <c r="H215" s="2">
        <v>609</v>
      </c>
      <c r="I215" s="301">
        <v>0.18304779080252478</v>
      </c>
      <c r="J215" s="14">
        <v>118.181816</v>
      </c>
      <c r="K215" s="301">
        <v>-0.1494413407821229</v>
      </c>
      <c r="L215" s="2">
        <v>2114</v>
      </c>
      <c r="M215" s="301">
        <v>0.22679969960304688</v>
      </c>
      <c r="N215" s="2">
        <v>183.636363636363</v>
      </c>
      <c r="O215" s="2">
        <v>2047</v>
      </c>
      <c r="P215" s="301">
        <v>0.20556336613777867</v>
      </c>
      <c r="Q215" s="14">
        <v>201.21212121212099</v>
      </c>
      <c r="R215" s="2">
        <v>1631</v>
      </c>
      <c r="S215" s="301">
        <v>0.1714495952906549</v>
      </c>
      <c r="T215" s="14">
        <v>160</v>
      </c>
      <c r="U215" s="301">
        <v>-0.22847682119205298</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1799</v>
      </c>
      <c r="B216" s="2">
        <v>904</v>
      </c>
      <c r="C216" s="301">
        <v>0.26848826848826851</v>
      </c>
      <c r="D216" s="2">
        <v>106.666666666666</v>
      </c>
      <c r="E216" s="2">
        <v>750</v>
      </c>
      <c r="F216" s="301">
        <v>0.21865889212827988</v>
      </c>
      <c r="G216" s="14">
        <v>93.939393939393895</v>
      </c>
      <c r="H216" s="2">
        <v>820</v>
      </c>
      <c r="I216" s="301">
        <v>0.24646828975052601</v>
      </c>
      <c r="J216" s="14">
        <v>137.57576</v>
      </c>
      <c r="K216" s="301">
        <v>-9.2920353982300891E-2</v>
      </c>
      <c r="L216" s="2">
        <v>2239</v>
      </c>
      <c r="M216" s="301">
        <v>0.24021027786718163</v>
      </c>
      <c r="N216" s="2">
        <v>165.45454545454501</v>
      </c>
      <c r="O216" s="2">
        <v>2574</v>
      </c>
      <c r="P216" s="301">
        <v>0.25848563968668409</v>
      </c>
      <c r="Q216" s="14">
        <v>173.333333333333</v>
      </c>
      <c r="R216" s="2">
        <v>2523</v>
      </c>
      <c r="S216" s="301">
        <v>0.26521602018290757</v>
      </c>
      <c r="T216" s="14">
        <v>195.15152</v>
      </c>
      <c r="U216" s="301">
        <v>0.12684234033050468</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1800</v>
      </c>
      <c r="B217" s="2">
        <v>237</v>
      </c>
      <c r="C217" s="301">
        <v>7.0389070389070385E-2</v>
      </c>
      <c r="D217" s="2">
        <v>62.424242424242401</v>
      </c>
      <c r="E217" s="2">
        <v>261</v>
      </c>
      <c r="F217" s="301">
        <v>7.6093294460641406E-2</v>
      </c>
      <c r="G217" s="14">
        <v>86.060606060606005</v>
      </c>
      <c r="H217" s="2">
        <v>386</v>
      </c>
      <c r="I217" s="301">
        <v>0.11602043883378418</v>
      </c>
      <c r="J217" s="14">
        <v>95.757576</v>
      </c>
      <c r="K217" s="301">
        <v>0.62869198312236285</v>
      </c>
      <c r="L217" s="2">
        <v>578</v>
      </c>
      <c r="M217" s="301">
        <v>6.2010513893359084E-2</v>
      </c>
      <c r="N217" s="2">
        <v>95.757575757575694</v>
      </c>
      <c r="O217" s="2">
        <v>730</v>
      </c>
      <c r="P217" s="301">
        <v>7.330789315123519E-2</v>
      </c>
      <c r="Q217" s="14">
        <v>116.363636363636</v>
      </c>
      <c r="R217" s="2">
        <v>964</v>
      </c>
      <c r="S217" s="301">
        <v>0.10133501524230001</v>
      </c>
      <c r="T217" s="14">
        <v>147.27271999999999</v>
      </c>
      <c r="U217" s="301">
        <v>0.66782006920415227</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1798</v>
      </c>
      <c r="B218" s="2">
        <v>133</v>
      </c>
      <c r="C218" s="301">
        <v>3.9501039501039503E-2</v>
      </c>
      <c r="D218" s="2">
        <v>49.696969696969703</v>
      </c>
      <c r="E218" s="2">
        <v>214</v>
      </c>
      <c r="F218" s="301">
        <v>6.2390670553935858E-2</v>
      </c>
      <c r="G218" s="14">
        <v>81.818181818181799</v>
      </c>
      <c r="H218" s="2">
        <v>344</v>
      </c>
      <c r="I218" s="301">
        <v>0.10339645326119627</v>
      </c>
      <c r="J218" s="14">
        <v>87.272729999999996</v>
      </c>
      <c r="K218" s="301">
        <v>1.5864661654135339</v>
      </c>
      <c r="L218" s="2">
        <v>432</v>
      </c>
      <c r="M218" s="301">
        <v>4.6346958480849694E-2</v>
      </c>
      <c r="N218" s="2">
        <v>86.6666666666666</v>
      </c>
      <c r="O218" s="2">
        <v>558</v>
      </c>
      <c r="P218" s="301">
        <v>5.6035348463546894E-2</v>
      </c>
      <c r="Q218" s="14">
        <v>106.06060606060601</v>
      </c>
      <c r="R218" s="2">
        <v>726</v>
      </c>
      <c r="S218" s="301">
        <v>7.6316619362976984E-2</v>
      </c>
      <c r="T218" s="14">
        <v>130.909088</v>
      </c>
      <c r="U218" s="301">
        <v>0.68055555555555558</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1799</v>
      </c>
      <c r="B219" s="2">
        <v>104</v>
      </c>
      <c r="C219" s="301">
        <v>3.0888030888030889E-2</v>
      </c>
      <c r="D219" s="2">
        <v>41.818181818181799</v>
      </c>
      <c r="E219" s="2">
        <v>47</v>
      </c>
      <c r="F219" s="301">
        <v>1.3702623906705539E-2</v>
      </c>
      <c r="G219" s="14">
        <v>23.030303030302999</v>
      </c>
      <c r="H219" s="2">
        <v>42</v>
      </c>
      <c r="I219" s="301">
        <v>1.2623985572587917E-2</v>
      </c>
      <c r="J219" s="14">
        <v>38.181820000000002</v>
      </c>
      <c r="K219" s="301">
        <v>-0.59615384615384615</v>
      </c>
      <c r="L219" s="2">
        <v>146</v>
      </c>
      <c r="M219" s="301">
        <v>1.5663555412509387E-2</v>
      </c>
      <c r="N219" s="2">
        <v>46.6666666666666</v>
      </c>
      <c r="O219" s="2">
        <v>172</v>
      </c>
      <c r="P219" s="301">
        <v>1.7272544687688293E-2</v>
      </c>
      <c r="Q219" s="14">
        <v>54.545454545454497</v>
      </c>
      <c r="R219" s="2">
        <v>238</v>
      </c>
      <c r="S219" s="301">
        <v>2.5018395879323033E-2</v>
      </c>
      <c r="T219" s="14">
        <v>79.393936199999999</v>
      </c>
      <c r="U219" s="301">
        <v>0.63013698630136983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1802</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1706</v>
      </c>
      <c r="C222" s="304"/>
      <c r="D222" s="304" t="s">
        <v>1707</v>
      </c>
      <c r="E222" s="304" t="s">
        <v>1706</v>
      </c>
      <c r="F222" s="304"/>
      <c r="G222" s="304" t="s">
        <v>1707</v>
      </c>
      <c r="H222" s="304" t="s">
        <v>1706</v>
      </c>
      <c r="I222" s="304"/>
      <c r="J222" s="304" t="s">
        <v>1707</v>
      </c>
      <c r="K222" t="s">
        <v>172</v>
      </c>
      <c r="L222" s="304" t="s">
        <v>1706</v>
      </c>
      <c r="M222" s="304"/>
      <c r="N222" s="304" t="s">
        <v>1707</v>
      </c>
      <c r="O222" s="304" t="s">
        <v>1706</v>
      </c>
      <c r="P222" s="304"/>
      <c r="Q222" s="304" t="s">
        <v>1707</v>
      </c>
      <c r="R222" s="304" t="s">
        <v>1706</v>
      </c>
      <c r="S222" s="304"/>
      <c r="T222" s="304" t="s">
        <v>1707</v>
      </c>
      <c r="U222" t="s">
        <v>172</v>
      </c>
      <c r="V222" s="207" t="s">
        <v>1706</v>
      </c>
      <c r="W222" s="207"/>
      <c r="X222" s="207" t="s">
        <v>1707</v>
      </c>
      <c r="Y222" s="207" t="s">
        <v>1706</v>
      </c>
      <c r="Z222" s="207"/>
      <c r="AA222" s="207" t="s">
        <v>1707</v>
      </c>
      <c r="AB222" s="207" t="s">
        <v>1706</v>
      </c>
      <c r="AC222" s="207"/>
      <c r="AD222" s="207" t="s">
        <v>1707</v>
      </c>
      <c r="AE222" t="s">
        <v>172</v>
      </c>
    </row>
    <row r="223" spans="1:31" x14ac:dyDescent="0.3">
      <c r="A223" t="s">
        <v>174</v>
      </c>
      <c r="B223" s="2">
        <v>15857</v>
      </c>
      <c r="C223" t="s">
        <v>172</v>
      </c>
      <c r="D223" s="2">
        <v>297.575757575757</v>
      </c>
      <c r="E223" s="2">
        <v>16791</v>
      </c>
      <c r="F223" t="s">
        <v>172</v>
      </c>
      <c r="G223" s="14">
        <v>318.18181818181802</v>
      </c>
      <c r="H223" s="2">
        <v>17598</v>
      </c>
      <c r="I223" t="s">
        <v>172</v>
      </c>
      <c r="J223" s="14">
        <v>315.75756799999999</v>
      </c>
      <c r="K223" s="301">
        <v>0.1097937819259633</v>
      </c>
      <c r="L223" s="2">
        <v>42089</v>
      </c>
      <c r="M223" t="s">
        <v>172</v>
      </c>
      <c r="N223" s="2">
        <v>393.33333333333297</v>
      </c>
      <c r="O223" s="2">
        <v>43159</v>
      </c>
      <c r="P223" t="s">
        <v>172</v>
      </c>
      <c r="Q223" s="14">
        <v>457.575757575757</v>
      </c>
      <c r="R223" s="2">
        <v>44479</v>
      </c>
      <c r="S223" t="s">
        <v>172</v>
      </c>
      <c r="T223" s="14">
        <v>306.06060000000002</v>
      </c>
      <c r="U223" s="301">
        <v>5.6784432987241319E-2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1767</v>
      </c>
      <c r="B224" s="2">
        <v>12490</v>
      </c>
      <c r="C224" s="301">
        <v>0.78766475373652012</v>
      </c>
      <c r="D224" s="2">
        <v>264.84848484848402</v>
      </c>
      <c r="E224" s="2">
        <v>13361</v>
      </c>
      <c r="F224" s="301">
        <v>0.79572389970817703</v>
      </c>
      <c r="G224" s="14">
        <v>282.42424242424198</v>
      </c>
      <c r="H224" s="2">
        <v>14271</v>
      </c>
      <c r="I224" s="301">
        <v>0.81094442550289803</v>
      </c>
      <c r="J224" s="14">
        <v>302.42425500000002</v>
      </c>
      <c r="K224" s="301">
        <v>0.14259407526020818</v>
      </c>
      <c r="L224" s="2">
        <v>32768</v>
      </c>
      <c r="M224" s="301">
        <v>0.77854071134975888</v>
      </c>
      <c r="N224" s="2">
        <v>467.27272727272702</v>
      </c>
      <c r="O224" s="2">
        <v>33201</v>
      </c>
      <c r="P224" s="301">
        <v>0.76927176255242247</v>
      </c>
      <c r="Q224" s="14">
        <v>509.09090909090901</v>
      </c>
      <c r="R224" s="2">
        <v>34966</v>
      </c>
      <c r="S224" s="301">
        <v>0.7861237887542436</v>
      </c>
      <c r="T224" s="14">
        <v>380.60604899999998</v>
      </c>
      <c r="U224" s="301">
        <v>6.707763671875E-2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2964</v>
      </c>
      <c r="C225" s="301">
        <v>0.1869206028883143</v>
      </c>
      <c r="D225" s="2">
        <v>208.48484848484799</v>
      </c>
      <c r="E225" s="2">
        <v>3158</v>
      </c>
      <c r="F225" s="301">
        <v>0.18807694598296706</v>
      </c>
      <c r="G225" s="14">
        <v>241.81818181818099</v>
      </c>
      <c r="H225" s="2">
        <v>3098</v>
      </c>
      <c r="I225" s="301">
        <v>0.17604273212865099</v>
      </c>
      <c r="J225" s="14">
        <v>318.78787199999999</v>
      </c>
      <c r="K225" s="301">
        <v>4.520917678812416E-2</v>
      </c>
      <c r="L225" s="2">
        <v>11354</v>
      </c>
      <c r="M225" s="301">
        <v>0.26976169545486944</v>
      </c>
      <c r="N225" s="2">
        <v>336.36363636363598</v>
      </c>
      <c r="O225" s="2">
        <v>11565</v>
      </c>
      <c r="P225" s="301">
        <v>0.26796264973701894</v>
      </c>
      <c r="Q225" s="14">
        <v>333.93939393939303</v>
      </c>
      <c r="R225" s="2">
        <v>11759</v>
      </c>
      <c r="S225" s="301">
        <v>0.2643719508082466</v>
      </c>
      <c r="T225" s="14">
        <v>454.54544099999998</v>
      </c>
      <c r="U225" s="301">
        <v>3.5670248370618288E-2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2658</v>
      </c>
      <c r="C226" s="301">
        <v>0.16762313173992557</v>
      </c>
      <c r="D226" s="2">
        <v>241.21212121212099</v>
      </c>
      <c r="E226" s="2">
        <v>2409</v>
      </c>
      <c r="F226" s="301">
        <v>0.14346971591924246</v>
      </c>
      <c r="G226" s="14">
        <v>211.51515151515099</v>
      </c>
      <c r="H226" s="2">
        <v>3150</v>
      </c>
      <c r="I226" s="301">
        <v>0.17899761336515513</v>
      </c>
      <c r="J226" s="14">
        <v>309.69695999999999</v>
      </c>
      <c r="K226" s="301">
        <v>0.18510158013544017</v>
      </c>
      <c r="L226" s="2">
        <v>6506</v>
      </c>
      <c r="M226" s="301">
        <v>0.15457720544560336</v>
      </c>
      <c r="N226" s="2">
        <v>348.48484848484799</v>
      </c>
      <c r="O226" s="2">
        <v>6034</v>
      </c>
      <c r="P226" s="301">
        <v>0.1398086146574295</v>
      </c>
      <c r="Q226" s="14">
        <v>339.39393939393898</v>
      </c>
      <c r="R226" s="2">
        <v>6515</v>
      </c>
      <c r="S226" s="301">
        <v>0.1464736167629668</v>
      </c>
      <c r="T226" s="14">
        <v>383.03030000000001</v>
      </c>
      <c r="U226" s="301">
        <v>1.3833384568090992E-3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2815</v>
      </c>
      <c r="C227" s="301">
        <v>0.17752412183893548</v>
      </c>
      <c r="D227" s="2">
        <v>195.15151515151501</v>
      </c>
      <c r="E227" s="2">
        <v>3411</v>
      </c>
      <c r="F227" s="301">
        <v>0.20314454171877791</v>
      </c>
      <c r="G227" s="14">
        <v>262.42424242424198</v>
      </c>
      <c r="H227" s="2">
        <v>3079</v>
      </c>
      <c r="I227" s="301">
        <v>0.1749630639845437</v>
      </c>
      <c r="J227" s="14">
        <v>332.72726399999999</v>
      </c>
      <c r="K227" s="301">
        <v>9.3783303730017767E-2</v>
      </c>
      <c r="L227" s="2">
        <v>6820</v>
      </c>
      <c r="M227" s="301">
        <v>0.16203758701798571</v>
      </c>
      <c r="N227" s="2">
        <v>296.969696969697</v>
      </c>
      <c r="O227" s="2">
        <v>6625</v>
      </c>
      <c r="P227" s="301">
        <v>0.15350216640793346</v>
      </c>
      <c r="Q227" s="14">
        <v>318.18181818181802</v>
      </c>
      <c r="R227" s="2">
        <v>6977</v>
      </c>
      <c r="S227" s="301">
        <v>0.15686054092942736</v>
      </c>
      <c r="T227" s="14">
        <v>489.69695999999999</v>
      </c>
      <c r="U227" s="301">
        <v>2.3020527859237538E-2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1952</v>
      </c>
      <c r="C228" s="301">
        <v>0.12310020810998297</v>
      </c>
      <c r="D228" s="2">
        <v>202.42424242424201</v>
      </c>
      <c r="E228" s="2">
        <v>2391</v>
      </c>
      <c r="F228" s="301">
        <v>0.14239771306056817</v>
      </c>
      <c r="G228" s="14">
        <v>218.18181818181799</v>
      </c>
      <c r="H228" s="2">
        <v>2275</v>
      </c>
      <c r="I228" s="301">
        <v>0.12927605409705648</v>
      </c>
      <c r="J228" s="14">
        <v>243.03030000000001</v>
      </c>
      <c r="K228" s="301">
        <v>0.16547131147540983</v>
      </c>
      <c r="L228" s="2">
        <v>3867</v>
      </c>
      <c r="M228" s="301">
        <v>9.1876737389816818E-2</v>
      </c>
      <c r="N228" s="2">
        <v>268.48484848484799</v>
      </c>
      <c r="O228" s="2">
        <v>4905</v>
      </c>
      <c r="P228" s="301">
        <v>0.11364952848768507</v>
      </c>
      <c r="Q228" s="14">
        <v>274.54545454545399</v>
      </c>
      <c r="R228" s="2">
        <v>4703</v>
      </c>
      <c r="S228" s="301">
        <v>0.10573529081139414</v>
      </c>
      <c r="T228" s="14">
        <v>337.57574499999998</v>
      </c>
      <c r="U228" s="301">
        <v>0.21618825963279029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1027</v>
      </c>
      <c r="C229" s="301">
        <v>6.4766349246389604E-2</v>
      </c>
      <c r="D229" s="2">
        <v>141.21212121212099</v>
      </c>
      <c r="E229" s="2">
        <v>1250</v>
      </c>
      <c r="F229" s="301">
        <v>7.4444642963492347E-2</v>
      </c>
      <c r="G229" s="14">
        <v>167.272727272727</v>
      </c>
      <c r="H229" s="2">
        <v>1547</v>
      </c>
      <c r="I229" s="301">
        <v>8.7907716785998402E-2</v>
      </c>
      <c r="J229" s="14">
        <v>203.636368</v>
      </c>
      <c r="K229" s="301">
        <v>0.50632911392405067</v>
      </c>
      <c r="L229" s="2">
        <v>2246</v>
      </c>
      <c r="M229" s="301">
        <v>5.3363111501817578E-2</v>
      </c>
      <c r="N229" s="2">
        <v>206.06060606060601</v>
      </c>
      <c r="O229" s="2">
        <v>2388</v>
      </c>
      <c r="P229" s="301">
        <v>5.5330290321833224E-2</v>
      </c>
      <c r="Q229" s="14">
        <v>227.87878787878699</v>
      </c>
      <c r="R229" s="2">
        <v>2609</v>
      </c>
      <c r="S229" s="301">
        <v>5.8656894264709186E-2</v>
      </c>
      <c r="T229" s="14">
        <v>256.96969999999999</v>
      </c>
      <c r="U229" s="301">
        <v>0.1616206589492431</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1074</v>
      </c>
      <c r="C230" s="301">
        <v>6.7730339912972184E-2</v>
      </c>
      <c r="D230" s="2">
        <v>130.90909090909</v>
      </c>
      <c r="E230" s="2">
        <v>742</v>
      </c>
      <c r="F230" s="301">
        <v>4.4190340063129059E-2</v>
      </c>
      <c r="G230" s="2">
        <v>113.939393939393</v>
      </c>
      <c r="H230" s="2">
        <v>1122</v>
      </c>
      <c r="I230" s="301">
        <v>6.3757245141493349E-2</v>
      </c>
      <c r="J230" s="14">
        <v>147.878784</v>
      </c>
      <c r="K230" s="301">
        <v>4.4692737430167599E-2</v>
      </c>
      <c r="L230" s="2">
        <v>1975</v>
      </c>
      <c r="M230" s="301">
        <v>4.6924374539665949E-2</v>
      </c>
      <c r="N230" s="2">
        <v>196.363636363636</v>
      </c>
      <c r="O230" s="2">
        <v>1684</v>
      </c>
      <c r="P230" s="301">
        <v>3.9018512940522256E-2</v>
      </c>
      <c r="Q230" s="2">
        <v>184.24242424242399</v>
      </c>
      <c r="R230" s="2">
        <v>2403</v>
      </c>
      <c r="S230" s="301">
        <v>5.4025495177499494E-2</v>
      </c>
      <c r="T230" s="14">
        <v>227.878784</v>
      </c>
      <c r="U230" s="301">
        <v>0.21670886075949367</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1772</v>
      </c>
      <c r="B231" s="2">
        <v>3367</v>
      </c>
      <c r="C231" s="301">
        <v>0.21233524626347985</v>
      </c>
      <c r="D231" s="2">
        <v>252.12121212121201</v>
      </c>
      <c r="E231" s="2">
        <v>3430</v>
      </c>
      <c r="F231" s="301">
        <v>0.204276100291823</v>
      </c>
      <c r="G231" s="14">
        <v>283.636363636363</v>
      </c>
      <c r="H231" s="2">
        <v>3327</v>
      </c>
      <c r="I231" s="301">
        <v>0.18905557449710195</v>
      </c>
      <c r="J231" s="14">
        <v>261.81817599999999</v>
      </c>
      <c r="K231" s="301">
        <v>-1.188001188001188E-2</v>
      </c>
      <c r="L231" s="2">
        <v>9321</v>
      </c>
      <c r="M231" s="301">
        <v>0.22145928865024114</v>
      </c>
      <c r="N231" s="2">
        <v>335.75757575757501</v>
      </c>
      <c r="O231" s="2">
        <v>9958</v>
      </c>
      <c r="P231" s="301">
        <v>0.23072823744757756</v>
      </c>
      <c r="Q231" s="14">
        <v>418.78787878787801</v>
      </c>
      <c r="R231" s="2">
        <v>9513</v>
      </c>
      <c r="S231" s="301">
        <v>0.21387621124575643</v>
      </c>
      <c r="T231" s="14">
        <v>389.09089999999998</v>
      </c>
      <c r="U231" s="301">
        <v>2.0598648213710977E-2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2814</v>
      </c>
      <c r="C232" s="301">
        <v>0.17746105820773161</v>
      </c>
      <c r="D232" s="2">
        <v>251.51515151515099</v>
      </c>
      <c r="E232" s="2">
        <v>3022</v>
      </c>
      <c r="F232" s="301">
        <v>0.1799773688285391</v>
      </c>
      <c r="G232" s="14">
        <v>272.12121212121201</v>
      </c>
      <c r="H232" s="2">
        <v>2494</v>
      </c>
      <c r="I232" s="301">
        <v>0.14172065007387202</v>
      </c>
      <c r="J232" s="14">
        <v>224.24243200000001</v>
      </c>
      <c r="K232" s="301">
        <v>-0.11371712864250177</v>
      </c>
      <c r="L232" s="2">
        <v>7915</v>
      </c>
      <c r="M232" s="301">
        <v>0.18805388581339541</v>
      </c>
      <c r="N232" s="2">
        <v>300</v>
      </c>
      <c r="O232" s="2">
        <v>8437</v>
      </c>
      <c r="P232" s="301">
        <v>0.1954864570541486</v>
      </c>
      <c r="Q232" s="14">
        <v>420</v>
      </c>
      <c r="R232" s="2">
        <v>7388</v>
      </c>
      <c r="S232" s="301">
        <v>0.16610085658400595</v>
      </c>
      <c r="T232" s="14">
        <v>325.45455900000002</v>
      </c>
      <c r="U232" s="301">
        <v>-6.6582438408085906E-2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334</v>
      </c>
      <c r="C233" s="301">
        <v>2.1063252822097495E-2</v>
      </c>
      <c r="D233" s="2">
        <v>75.757575757575694</v>
      </c>
      <c r="E233" s="2">
        <v>318</v>
      </c>
      <c r="F233" s="301">
        <v>1.8938717169912453E-2</v>
      </c>
      <c r="G233" s="14">
        <v>90.909090909090907</v>
      </c>
      <c r="H233" s="2">
        <v>585</v>
      </c>
      <c r="I233" s="301">
        <v>3.3242413910671668E-2</v>
      </c>
      <c r="J233" s="14">
        <v>123.63636</v>
      </c>
      <c r="K233" s="301">
        <v>0.75149700598802394</v>
      </c>
      <c r="L233" s="2">
        <v>1095</v>
      </c>
      <c r="M233" s="301">
        <v>2.6016298795409728E-2</v>
      </c>
      <c r="N233" s="2">
        <v>124.24242424242399</v>
      </c>
      <c r="O233" s="2">
        <v>1314</v>
      </c>
      <c r="P233" s="301">
        <v>3.0445561760003709E-2</v>
      </c>
      <c r="Q233" s="14">
        <v>160.60606060606</v>
      </c>
      <c r="R233" s="2">
        <v>1680</v>
      </c>
      <c r="S233" s="301">
        <v>3.7770633332583917E-2</v>
      </c>
      <c r="T233" s="14">
        <v>227.27271999999999</v>
      </c>
      <c r="U233" s="301">
        <v>0.53424657534246578</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84</v>
      </c>
      <c r="C234" s="301">
        <v>5.2973450211263162E-3</v>
      </c>
      <c r="D234" s="2">
        <v>47.878787878787797</v>
      </c>
      <c r="E234" s="2">
        <v>21</v>
      </c>
      <c r="F234" s="301">
        <v>1.2506700017866715E-3</v>
      </c>
      <c r="G234" s="14">
        <v>21.2121212121212</v>
      </c>
      <c r="H234" s="2">
        <v>68</v>
      </c>
      <c r="I234" s="301">
        <v>3.8640754631208093E-3</v>
      </c>
      <c r="J234" s="14">
        <v>45.4545441</v>
      </c>
      <c r="K234" s="301">
        <v>-0.19047619047619047</v>
      </c>
      <c r="L234" s="2">
        <v>124</v>
      </c>
      <c r="M234" s="301">
        <v>2.9461379457815583E-3</v>
      </c>
      <c r="N234" s="2">
        <v>51.515151515151501</v>
      </c>
      <c r="O234" s="2">
        <v>132</v>
      </c>
      <c r="P234" s="301">
        <v>3.0584582589958061E-3</v>
      </c>
      <c r="Q234" s="14">
        <v>44.2424242424242</v>
      </c>
      <c r="R234" s="2">
        <v>118</v>
      </c>
      <c r="S234" s="301">
        <v>2.6529373412172035E-3</v>
      </c>
      <c r="T234" s="14">
        <v>49.696968099999999</v>
      </c>
      <c r="U234" s="301">
        <v>-4.8387096774193547E-2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84</v>
      </c>
      <c r="C235" s="301">
        <v>5.2973450211263162E-3</v>
      </c>
      <c r="D235" s="2">
        <v>56.969696969696898</v>
      </c>
      <c r="E235" s="2">
        <v>69</v>
      </c>
      <c r="F235" s="301">
        <v>4.1093442915847772E-3</v>
      </c>
      <c r="G235" s="14">
        <v>36.363636363636303</v>
      </c>
      <c r="H235" s="2">
        <v>56</v>
      </c>
      <c r="I235" s="301">
        <v>3.1821797931583136E-3</v>
      </c>
      <c r="J235" s="14">
        <v>44.242424</v>
      </c>
      <c r="K235" s="301">
        <v>-0.33333333333333331</v>
      </c>
      <c r="L235" s="2">
        <v>136</v>
      </c>
      <c r="M235" s="301">
        <v>3.23124806956687E-3</v>
      </c>
      <c r="N235" s="2">
        <v>66.6666666666666</v>
      </c>
      <c r="O235" s="2">
        <v>69</v>
      </c>
      <c r="P235" s="301">
        <v>1.5987395444750805E-3</v>
      </c>
      <c r="Q235" s="14">
        <v>36.363636363636303</v>
      </c>
      <c r="R235" s="2">
        <v>186</v>
      </c>
      <c r="S235" s="301">
        <v>4.181748690393219E-3</v>
      </c>
      <c r="T235" s="14">
        <v>66.666664100000006</v>
      </c>
      <c r="U235" s="301">
        <v>0.36764705882352944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51</v>
      </c>
      <c r="C236" s="301">
        <v>3.2162451913981208E-3</v>
      </c>
      <c r="D236" s="2">
        <v>29.696969696969699</v>
      </c>
      <c r="E236" s="2">
        <v>0</v>
      </c>
      <c r="F236" s="301">
        <v>0</v>
      </c>
      <c r="G236" s="14">
        <v>16.969696969696901</v>
      </c>
      <c r="H236" s="2">
        <v>46</v>
      </c>
      <c r="I236" s="301">
        <v>2.6139334015229001E-3</v>
      </c>
      <c r="J236" s="14">
        <v>46.6666679</v>
      </c>
      <c r="K236" s="301">
        <v>-9.8039215686274508E-2</v>
      </c>
      <c r="L236" s="2">
        <v>51</v>
      </c>
      <c r="M236" s="301">
        <v>1.2117180260875764E-3</v>
      </c>
      <c r="N236" s="2">
        <v>29.696969696969699</v>
      </c>
      <c r="O236" s="2">
        <v>6</v>
      </c>
      <c r="P236" s="301">
        <v>1.3902082995435482E-4</v>
      </c>
      <c r="Q236" s="14">
        <v>6.6666666666666599</v>
      </c>
      <c r="R236" s="2">
        <v>56</v>
      </c>
      <c r="S236" s="301">
        <v>1.2590211110861305E-3</v>
      </c>
      <c r="T236" s="14">
        <v>43.030304000000001</v>
      </c>
      <c r="U236" s="301">
        <v>9.8039215686274508E-2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301">
        <v>0</v>
      </c>
      <c r="D237" s="2">
        <v>80</v>
      </c>
      <c r="E237" s="2">
        <v>0</v>
      </c>
      <c r="F237" s="301">
        <v>0</v>
      </c>
      <c r="G237" s="14">
        <v>16.969696969696901</v>
      </c>
      <c r="H237" s="2">
        <v>20</v>
      </c>
      <c r="I237" s="301">
        <v>1.1364927832708263E-3</v>
      </c>
      <c r="J237" s="14">
        <v>23.636364</v>
      </c>
      <c r="L237" s="2">
        <v>0</v>
      </c>
      <c r="M237" s="301">
        <v>0</v>
      </c>
      <c r="N237" s="2">
        <v>80</v>
      </c>
      <c r="O237" s="2">
        <v>0</v>
      </c>
      <c r="P237" s="301">
        <v>0</v>
      </c>
      <c r="Q237" s="14">
        <v>16.969696969696901</v>
      </c>
      <c r="R237" s="2">
        <v>27</v>
      </c>
      <c r="S237" s="301">
        <v>6.0702803570224153E-4</v>
      </c>
      <c r="T237" s="14">
        <v>24.242424</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1">
        <v>0</v>
      </c>
      <c r="D238" s="2">
        <v>80</v>
      </c>
      <c r="E238" s="2">
        <v>0</v>
      </c>
      <c r="F238" s="301">
        <v>0</v>
      </c>
      <c r="G238" s="14">
        <v>16.969696969696901</v>
      </c>
      <c r="H238" s="2">
        <v>58</v>
      </c>
      <c r="I238" s="301">
        <v>3.2958290714853963E-3</v>
      </c>
      <c r="J238" s="14">
        <v>41.818179999999998</v>
      </c>
      <c r="L238" s="2">
        <v>0</v>
      </c>
      <c r="M238" s="301">
        <v>0</v>
      </c>
      <c r="N238" s="2">
        <v>80</v>
      </c>
      <c r="O238" s="2">
        <v>0</v>
      </c>
      <c r="P238" s="301">
        <v>0</v>
      </c>
      <c r="Q238" s="14">
        <v>16.969696969696901</v>
      </c>
      <c r="R238" s="2">
        <v>58</v>
      </c>
      <c r="S238" s="301">
        <v>1.3039861507677781E-3</v>
      </c>
      <c r="T238" s="14">
        <v>41.818179999999998</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1803</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1706</v>
      </c>
      <c r="C241" s="304"/>
      <c r="D241" s="304" t="s">
        <v>1707</v>
      </c>
      <c r="E241" s="304" t="s">
        <v>1706</v>
      </c>
      <c r="F241" s="304"/>
      <c r="G241" s="304" t="s">
        <v>1707</v>
      </c>
      <c r="H241" s="304" t="s">
        <v>1706</v>
      </c>
      <c r="I241" s="304"/>
      <c r="J241" s="304" t="s">
        <v>1707</v>
      </c>
      <c r="K241" t="s">
        <v>172</v>
      </c>
      <c r="L241" s="304" t="s">
        <v>1706</v>
      </c>
      <c r="M241" s="304"/>
      <c r="N241" s="304" t="s">
        <v>1707</v>
      </c>
      <c r="O241" s="304" t="s">
        <v>1706</v>
      </c>
      <c r="P241" s="304"/>
      <c r="Q241" s="304" t="s">
        <v>1707</v>
      </c>
      <c r="R241" s="304" t="s">
        <v>1706</v>
      </c>
      <c r="S241" s="304"/>
      <c r="T241" s="304" t="s">
        <v>1707</v>
      </c>
      <c r="U241" t="s">
        <v>172</v>
      </c>
      <c r="V241" s="207" t="s">
        <v>1706</v>
      </c>
      <c r="W241" s="207"/>
      <c r="X241" s="207" t="s">
        <v>1707</v>
      </c>
      <c r="Y241" s="207" t="s">
        <v>1706</v>
      </c>
      <c r="Z241" s="207"/>
      <c r="AA241" s="207" t="s">
        <v>1707</v>
      </c>
      <c r="AB241" s="207" t="s">
        <v>1706</v>
      </c>
      <c r="AC241" s="207"/>
      <c r="AD241" s="207" t="s">
        <v>1707</v>
      </c>
      <c r="AE241" t="s">
        <v>172</v>
      </c>
    </row>
    <row r="242" spans="1:31" x14ac:dyDescent="0.3">
      <c r="A242" t="s">
        <v>174</v>
      </c>
      <c r="B242" s="2">
        <v>58319</v>
      </c>
      <c r="C242" t="s">
        <v>172</v>
      </c>
      <c r="D242" s="2">
        <v>187.272727272727</v>
      </c>
      <c r="E242" s="2">
        <v>62542</v>
      </c>
      <c r="F242" t="s">
        <v>172</v>
      </c>
      <c r="G242" s="14">
        <v>111.515151515151</v>
      </c>
      <c r="H242" s="2">
        <v>64523</v>
      </c>
      <c r="I242" t="s">
        <v>172</v>
      </c>
      <c r="J242" s="14">
        <v>149.090912</v>
      </c>
      <c r="K242" s="301">
        <v>0.10638042490440508</v>
      </c>
      <c r="L242" s="2">
        <v>138151</v>
      </c>
      <c r="M242" t="s">
        <v>172</v>
      </c>
      <c r="N242" s="2">
        <v>636.969696969697</v>
      </c>
      <c r="O242" s="2">
        <v>144277</v>
      </c>
      <c r="P242" t="s">
        <v>172</v>
      </c>
      <c r="Q242" s="14">
        <v>391.51515151515099</v>
      </c>
      <c r="R242" s="2">
        <v>147405</v>
      </c>
      <c r="S242" t="s">
        <v>172</v>
      </c>
      <c r="T242" s="14">
        <v>348.48486300000002</v>
      </c>
      <c r="U242" s="301">
        <v>6.698467618764975E-2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1804</v>
      </c>
      <c r="B243" s="2">
        <v>14990</v>
      </c>
      <c r="C243" s="301">
        <v>0.2570345856410432</v>
      </c>
      <c r="D243" s="2">
        <v>887.87878787878799</v>
      </c>
      <c r="E243" s="2">
        <v>17270</v>
      </c>
      <c r="F243" s="301">
        <v>0.27613443765789392</v>
      </c>
      <c r="G243" s="14">
        <v>1082.42424242424</v>
      </c>
      <c r="H243" s="2">
        <v>16834</v>
      </c>
      <c r="I243" s="301">
        <v>0.26089921423368412</v>
      </c>
      <c r="J243" s="14">
        <v>1438.1817599999999</v>
      </c>
      <c r="K243" s="301">
        <v>0.12301534356237491</v>
      </c>
      <c r="L243" s="2">
        <v>26656</v>
      </c>
      <c r="M243" s="301">
        <v>0.19294829570542377</v>
      </c>
      <c r="N243" s="2">
        <v>1357.57575757575</v>
      </c>
      <c r="O243" s="2">
        <v>33968</v>
      </c>
      <c r="P243" s="301">
        <v>0.23543600158029346</v>
      </c>
      <c r="Q243" s="14">
        <v>1480.6060606060601</v>
      </c>
      <c r="R243" s="2">
        <v>28062</v>
      </c>
      <c r="S243" s="301">
        <v>0.19037346087310472</v>
      </c>
      <c r="T243" s="14">
        <v>1784.24243</v>
      </c>
      <c r="U243" s="301">
        <v>5.2746098439375749E-2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1805</v>
      </c>
      <c r="B244" s="2">
        <v>7068</v>
      </c>
      <c r="C244" s="301">
        <v>0.12119549374989283</v>
      </c>
      <c r="D244" s="2">
        <v>489.69696969696901</v>
      </c>
      <c r="E244" s="2">
        <v>7768</v>
      </c>
      <c r="F244" s="301">
        <v>0.12420453455278054</v>
      </c>
      <c r="G244" s="14">
        <v>590.30303030303003</v>
      </c>
      <c r="H244" s="2">
        <v>7206</v>
      </c>
      <c r="I244" s="301">
        <v>0.11168110596221502</v>
      </c>
      <c r="J244" s="14">
        <v>706.06060000000002</v>
      </c>
      <c r="K244" s="301">
        <v>1.9524617996604415E-2</v>
      </c>
      <c r="L244" s="2">
        <v>12402</v>
      </c>
      <c r="M244" s="301">
        <v>8.9771337160063983E-2</v>
      </c>
      <c r="N244" s="2">
        <v>752.12121212121201</v>
      </c>
      <c r="O244" s="2">
        <v>15721</v>
      </c>
      <c r="P244" s="301">
        <v>0.10896400673704056</v>
      </c>
      <c r="Q244" s="14">
        <v>832.72727272727195</v>
      </c>
      <c r="R244" s="2">
        <v>12295</v>
      </c>
      <c r="S244" s="301">
        <v>8.3409653675248469E-2</v>
      </c>
      <c r="T244" s="14">
        <v>869.09090000000003</v>
      </c>
      <c r="U244" s="301">
        <v>-8.6276407031124006E-3</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1806</v>
      </c>
      <c r="B245" s="2">
        <v>1209</v>
      </c>
      <c r="C245" s="301">
        <v>2.0730808141429038E-2</v>
      </c>
      <c r="D245" s="2">
        <v>168.48484848484799</v>
      </c>
      <c r="E245" s="2">
        <v>1203</v>
      </c>
      <c r="F245" s="301">
        <v>1.9235074030251671E-2</v>
      </c>
      <c r="G245" s="14">
        <v>181.21212121212099</v>
      </c>
      <c r="H245" s="2">
        <v>950</v>
      </c>
      <c r="I245" s="301">
        <v>1.4723431954496847E-2</v>
      </c>
      <c r="J245" s="14">
        <v>166.66667200000001</v>
      </c>
      <c r="K245" s="301">
        <v>-0.21422663358147229</v>
      </c>
      <c r="L245" s="2">
        <v>1855</v>
      </c>
      <c r="M245" s="301">
        <v>1.3427336754710426E-2</v>
      </c>
      <c r="N245" s="2">
        <v>213.939393939393</v>
      </c>
      <c r="O245" s="2">
        <v>1969</v>
      </c>
      <c r="P245" s="301">
        <v>1.3647358899893955E-2</v>
      </c>
      <c r="Q245" s="14">
        <v>210.30303030303</v>
      </c>
      <c r="R245" s="2">
        <v>1588</v>
      </c>
      <c r="S245" s="301">
        <v>1.0773040263220379E-2</v>
      </c>
      <c r="T245" s="14">
        <v>183.636368</v>
      </c>
      <c r="U245" s="301">
        <v>-0.14393530997304582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1807</v>
      </c>
      <c r="B246" s="2">
        <v>209</v>
      </c>
      <c r="C246" s="301">
        <v>3.5837377184108096E-3</v>
      </c>
      <c r="D246" s="2">
        <v>61.212121212121197</v>
      </c>
      <c r="E246" s="2">
        <v>173</v>
      </c>
      <c r="F246" s="301">
        <v>2.7661411531450866E-3</v>
      </c>
      <c r="G246" s="14">
        <v>59.393939393939398</v>
      </c>
      <c r="H246" s="2">
        <v>195</v>
      </c>
      <c r="I246" s="301">
        <v>3.0221781380283001E-3</v>
      </c>
      <c r="J246" s="14">
        <v>80.606063800000001</v>
      </c>
      <c r="K246" s="301">
        <v>-6.6985645933014357E-2</v>
      </c>
      <c r="L246" s="2">
        <v>313</v>
      </c>
      <c r="M246" s="301">
        <v>2.2656368755926484E-3</v>
      </c>
      <c r="N246" s="2">
        <v>77.575757575757507</v>
      </c>
      <c r="O246" s="2">
        <v>381</v>
      </c>
      <c r="P246" s="301">
        <v>2.6407535504619586E-3</v>
      </c>
      <c r="Q246" s="14">
        <v>95.151515151515099</v>
      </c>
      <c r="R246" s="2">
        <v>371</v>
      </c>
      <c r="S246" s="301">
        <v>2.5168752756012346E-3</v>
      </c>
      <c r="T246" s="14">
        <v>104.242424</v>
      </c>
      <c r="U246" s="301">
        <v>0.1853035143769968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1808</v>
      </c>
      <c r="B247" s="2">
        <v>1071</v>
      </c>
      <c r="C247" s="301">
        <v>1.8364512423052523E-2</v>
      </c>
      <c r="D247" s="2">
        <v>135.75757575757501</v>
      </c>
      <c r="E247" s="2">
        <v>1455</v>
      </c>
      <c r="F247" s="301">
        <v>2.326436634581561E-2</v>
      </c>
      <c r="G247" s="14">
        <v>218.18181818181799</v>
      </c>
      <c r="H247" s="2">
        <v>1349</v>
      </c>
      <c r="I247" s="301">
        <v>2.0907273375385522E-2</v>
      </c>
      <c r="J247" s="14">
        <v>198.78787199999999</v>
      </c>
      <c r="K247" s="301">
        <v>0.25957049486461253</v>
      </c>
      <c r="L247" s="2">
        <v>2042</v>
      </c>
      <c r="M247" s="301">
        <v>1.4780928114888781E-2</v>
      </c>
      <c r="N247" s="2">
        <v>192.72727272727201</v>
      </c>
      <c r="O247" s="2">
        <v>2176</v>
      </c>
      <c r="P247" s="301">
        <v>1.5082099017861474E-2</v>
      </c>
      <c r="Q247" s="14">
        <v>228.48484848484799</v>
      </c>
      <c r="R247" s="2">
        <v>2131</v>
      </c>
      <c r="S247" s="301">
        <v>1.4456768766324074E-2</v>
      </c>
      <c r="T247" s="14">
        <v>239.393936</v>
      </c>
      <c r="U247" s="301">
        <v>4.35847208619001E-2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1809</v>
      </c>
      <c r="B248" s="2">
        <v>470</v>
      </c>
      <c r="C248" s="301">
        <v>8.0591230988185675E-3</v>
      </c>
      <c r="D248" s="2">
        <v>99.393939393939405</v>
      </c>
      <c r="E248" s="2">
        <v>480</v>
      </c>
      <c r="F248" s="301">
        <v>7.6748425058360782E-3</v>
      </c>
      <c r="G248" s="14">
        <v>88.484848484848399</v>
      </c>
      <c r="H248" s="2">
        <v>764</v>
      </c>
      <c r="I248" s="301">
        <v>1.1840738961300621E-2</v>
      </c>
      <c r="J248" s="14">
        <v>154.545456</v>
      </c>
      <c r="K248" s="301">
        <v>0.62553191489361704</v>
      </c>
      <c r="L248" s="2">
        <v>813</v>
      </c>
      <c r="M248" s="301">
        <v>5.8848651113636531E-3</v>
      </c>
      <c r="N248" s="2">
        <v>120.60606060606</v>
      </c>
      <c r="O248" s="2">
        <v>1105</v>
      </c>
      <c r="P248" s="301">
        <v>7.6588784075077802E-3</v>
      </c>
      <c r="Q248" s="14">
        <v>156.969696969696</v>
      </c>
      <c r="R248" s="2">
        <v>1133</v>
      </c>
      <c r="S248" s="301">
        <v>7.6863064346528271E-3</v>
      </c>
      <c r="T248" s="14">
        <v>178.78787199999999</v>
      </c>
      <c r="U248" s="301">
        <v>0.39360393603936039</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1810</v>
      </c>
      <c r="B249" s="2">
        <v>202</v>
      </c>
      <c r="C249" s="301">
        <v>3.4637082254496817E-3</v>
      </c>
      <c r="D249" s="2">
        <v>60.606060606060602</v>
      </c>
      <c r="E249" s="2">
        <v>70</v>
      </c>
      <c r="F249" s="301">
        <v>1.119247865434428E-3</v>
      </c>
      <c r="G249" s="14">
        <v>34.545454545454497</v>
      </c>
      <c r="H249" s="2">
        <v>55</v>
      </c>
      <c r="I249" s="301">
        <v>8.5240921841823851E-4</v>
      </c>
      <c r="J249" s="14">
        <v>50.9090919</v>
      </c>
      <c r="K249" s="301">
        <v>-0.7277227722772277</v>
      </c>
      <c r="L249" s="2">
        <v>354</v>
      </c>
      <c r="M249" s="301">
        <v>2.5624135909258711E-3</v>
      </c>
      <c r="N249" s="2">
        <v>92.121212121212096</v>
      </c>
      <c r="O249" s="2">
        <v>129</v>
      </c>
      <c r="P249" s="301">
        <v>8.9411340684932461E-4</v>
      </c>
      <c r="Q249" s="14">
        <v>49.090909090909101</v>
      </c>
      <c r="R249" s="2">
        <v>156</v>
      </c>
      <c r="S249" s="301">
        <v>1.0583087412231607E-3</v>
      </c>
      <c r="T249" s="14">
        <v>70.909090000000006</v>
      </c>
      <c r="U249" s="301">
        <v>-0.55932203389830504</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1811</v>
      </c>
      <c r="B250" s="2">
        <v>438</v>
      </c>
      <c r="C250" s="301">
        <v>7.510416845281984E-3</v>
      </c>
      <c r="D250" s="2">
        <v>106.06060606060601</v>
      </c>
      <c r="E250" s="2">
        <v>592</v>
      </c>
      <c r="F250" s="301">
        <v>9.4656390905311638E-3</v>
      </c>
      <c r="G250" s="14">
        <v>135.75757575757501</v>
      </c>
      <c r="H250" s="2">
        <v>265</v>
      </c>
      <c r="I250" s="301">
        <v>4.1070625978333304E-3</v>
      </c>
      <c r="J250" s="14">
        <v>91.515150000000006</v>
      </c>
      <c r="K250" s="301">
        <v>-0.3949771689497717</v>
      </c>
      <c r="L250" s="2">
        <v>577</v>
      </c>
      <c r="M250" s="301">
        <v>4.176589384079739E-3</v>
      </c>
      <c r="N250" s="2">
        <v>109.69696969696901</v>
      </c>
      <c r="O250" s="2">
        <v>867</v>
      </c>
      <c r="P250" s="301">
        <v>6.0092738274291815E-3</v>
      </c>
      <c r="Q250" s="14">
        <v>150.90909090909</v>
      </c>
      <c r="R250" s="2">
        <v>510</v>
      </c>
      <c r="S250" s="301">
        <v>3.4598555001526406E-3</v>
      </c>
      <c r="T250" s="14">
        <v>109.696968</v>
      </c>
      <c r="U250" s="301">
        <v>-0.11611785095320624</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1812</v>
      </c>
      <c r="B251" s="2">
        <v>815</v>
      </c>
      <c r="C251" s="301">
        <v>1.3974862394759856E-2</v>
      </c>
      <c r="D251" s="2">
        <v>135.15151515151501</v>
      </c>
      <c r="E251" s="2">
        <v>781</v>
      </c>
      <c r="F251" s="301">
        <v>1.2487608327204119E-2</v>
      </c>
      <c r="G251" s="14">
        <v>138.18181818181799</v>
      </c>
      <c r="H251" s="2">
        <v>636</v>
      </c>
      <c r="I251" s="301">
        <v>9.8569502347999934E-3</v>
      </c>
      <c r="J251" s="14">
        <v>152.121216</v>
      </c>
      <c r="K251" s="301">
        <v>-0.21963190184049081</v>
      </c>
      <c r="L251" s="2">
        <v>1466</v>
      </c>
      <c r="M251" s="301">
        <v>1.0611577187280584E-2</v>
      </c>
      <c r="N251" s="2">
        <v>195.15151515151501</v>
      </c>
      <c r="O251" s="2">
        <v>1697</v>
      </c>
      <c r="P251" s="301">
        <v>1.176209652266127E-2</v>
      </c>
      <c r="Q251" s="14">
        <v>196.969696969697</v>
      </c>
      <c r="R251" s="2">
        <v>1093</v>
      </c>
      <c r="S251" s="301">
        <v>7.4149452189545811E-3</v>
      </c>
      <c r="T251" s="14">
        <v>176.363632</v>
      </c>
      <c r="U251" s="301">
        <v>-0.25443383356070942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1813</v>
      </c>
      <c r="B252" s="2">
        <v>990</v>
      </c>
      <c r="C252" s="301">
        <v>1.6975599718788044E-2</v>
      </c>
      <c r="D252" s="2">
        <v>129.09090909090901</v>
      </c>
      <c r="E252" s="2">
        <v>886</v>
      </c>
      <c r="F252" s="301">
        <v>1.4166480125355761E-2</v>
      </c>
      <c r="G252" s="14">
        <v>152.72727272727201</v>
      </c>
      <c r="H252" s="2">
        <v>869</v>
      </c>
      <c r="I252" s="301">
        <v>1.3468065651008167E-2</v>
      </c>
      <c r="J252" s="14">
        <v>155.15152</v>
      </c>
      <c r="K252" s="301">
        <v>-0.12222222222222222</v>
      </c>
      <c r="L252" s="2">
        <v>1425</v>
      </c>
      <c r="M252" s="301">
        <v>1.0314800471947362E-2</v>
      </c>
      <c r="N252" s="2">
        <v>153.333333333333</v>
      </c>
      <c r="O252" s="2">
        <v>2084</v>
      </c>
      <c r="P252" s="301">
        <v>1.4444436743209244E-2</v>
      </c>
      <c r="Q252" s="14">
        <v>239.39393939393901</v>
      </c>
      <c r="R252" s="2">
        <v>1225</v>
      </c>
      <c r="S252" s="301">
        <v>8.3104372307587944E-3</v>
      </c>
      <c r="T252" s="14">
        <v>172.121216</v>
      </c>
      <c r="U252" s="301">
        <v>-0.14035087719298245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1814</v>
      </c>
      <c r="B253" s="2">
        <v>708</v>
      </c>
      <c r="C253" s="301">
        <v>1.2140125859496906E-2</v>
      </c>
      <c r="D253" s="2">
        <v>106.666666666666</v>
      </c>
      <c r="E253" s="2">
        <v>1047</v>
      </c>
      <c r="F253" s="301">
        <v>1.6740750215854947E-2</v>
      </c>
      <c r="G253" s="14">
        <v>144.84848484848399</v>
      </c>
      <c r="H253" s="2">
        <v>715</v>
      </c>
      <c r="I253" s="301">
        <v>1.1081319839437101E-2</v>
      </c>
      <c r="J253" s="14">
        <v>140.606064</v>
      </c>
      <c r="K253" s="301">
        <v>9.887005649717515E-3</v>
      </c>
      <c r="L253" s="2">
        <v>1284</v>
      </c>
      <c r="M253" s="301">
        <v>9.2941781094599395E-3</v>
      </c>
      <c r="N253" s="2">
        <v>150.90909090909</v>
      </c>
      <c r="O253" s="2">
        <v>1836</v>
      </c>
      <c r="P253" s="301">
        <v>1.2725521046320619E-2</v>
      </c>
      <c r="Q253" s="14">
        <v>183.030303030303</v>
      </c>
      <c r="R253" s="2">
        <v>1273</v>
      </c>
      <c r="S253" s="301">
        <v>8.6360706895966897E-3</v>
      </c>
      <c r="T253" s="14">
        <v>190.909088</v>
      </c>
      <c r="U253" s="301">
        <v>-8.5669781931464167E-3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1815</v>
      </c>
      <c r="B254" s="2">
        <v>497</v>
      </c>
      <c r="C254" s="301">
        <v>8.5220940002400589E-3</v>
      </c>
      <c r="D254" s="2">
        <v>104.24242424242399</v>
      </c>
      <c r="E254" s="2">
        <v>505</v>
      </c>
      <c r="F254" s="301">
        <v>8.0745738863483747E-3</v>
      </c>
      <c r="G254" s="14">
        <v>130.90909090909</v>
      </c>
      <c r="H254" s="2">
        <v>685</v>
      </c>
      <c r="I254" s="301">
        <v>1.0616369356663515E-2</v>
      </c>
      <c r="J254" s="14">
        <v>152.72728000000001</v>
      </c>
      <c r="K254" s="301">
        <v>0.3782696177062374</v>
      </c>
      <c r="L254" s="2">
        <v>1073</v>
      </c>
      <c r="M254" s="301">
        <v>7.7668637939645752E-3</v>
      </c>
      <c r="N254" s="2">
        <v>169.69696969696901</v>
      </c>
      <c r="O254" s="2">
        <v>1456</v>
      </c>
      <c r="P254" s="301">
        <v>1.0091698607539664E-2</v>
      </c>
      <c r="Q254" s="14">
        <v>210.90909090909</v>
      </c>
      <c r="R254" s="2">
        <v>1152</v>
      </c>
      <c r="S254" s="301">
        <v>7.8152030121094937E-3</v>
      </c>
      <c r="T254" s="14">
        <v>176.363632</v>
      </c>
      <c r="U254" s="301">
        <v>7.3625349487418459E-2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1816</v>
      </c>
      <c r="B255" s="2">
        <v>228</v>
      </c>
      <c r="C255" s="301">
        <v>3.9095320564481555E-3</v>
      </c>
      <c r="D255" s="2">
        <v>68.484848484848399</v>
      </c>
      <c r="E255" s="2">
        <v>387</v>
      </c>
      <c r="F255" s="301">
        <v>6.1878417703303381E-3</v>
      </c>
      <c r="G255" s="14">
        <v>79.393939393939405</v>
      </c>
      <c r="H255" s="2">
        <v>275</v>
      </c>
      <c r="I255" s="301">
        <v>4.2620460920911925E-3</v>
      </c>
      <c r="J255" s="14">
        <v>87.878784199999998</v>
      </c>
      <c r="K255" s="301">
        <v>0.20614035087719298</v>
      </c>
      <c r="L255" s="2">
        <v>559</v>
      </c>
      <c r="M255" s="301">
        <v>4.0462971675919827E-3</v>
      </c>
      <c r="N255" s="2">
        <v>97.575757575757606</v>
      </c>
      <c r="O255" s="2">
        <v>1208</v>
      </c>
      <c r="P255" s="301">
        <v>8.3727829106510394E-3</v>
      </c>
      <c r="Q255" s="14">
        <v>129.09090909090901</v>
      </c>
      <c r="R255" s="2">
        <v>810</v>
      </c>
      <c r="S255" s="301">
        <v>5.4950646178894879E-3</v>
      </c>
      <c r="T255" s="14">
        <v>129.090912</v>
      </c>
      <c r="U255" s="301">
        <v>0.44901610017889088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1817</v>
      </c>
      <c r="B256" s="2">
        <v>136</v>
      </c>
      <c r="C256" s="301">
        <v>2.3320015775304789E-3</v>
      </c>
      <c r="D256" s="2">
        <v>46.060606060605998</v>
      </c>
      <c r="E256" s="2">
        <v>129</v>
      </c>
      <c r="F256" s="301">
        <v>2.0626139234434459E-3</v>
      </c>
      <c r="G256" s="2">
        <v>45.454545454545404</v>
      </c>
      <c r="H256" s="2">
        <v>260</v>
      </c>
      <c r="I256" s="301">
        <v>4.0295708507043998E-3</v>
      </c>
      <c r="J256" s="14">
        <v>70.909090000000006</v>
      </c>
      <c r="K256" s="301">
        <v>0.91176470588235292</v>
      </c>
      <c r="L256" s="2">
        <v>360</v>
      </c>
      <c r="M256" s="301">
        <v>2.6058443297551229E-3</v>
      </c>
      <c r="N256" s="2">
        <v>78.787878787878796</v>
      </c>
      <c r="O256" s="2">
        <v>450</v>
      </c>
      <c r="P256" s="301">
        <v>3.1190002564511323E-3</v>
      </c>
      <c r="Q256" s="2">
        <v>74.545454545454504</v>
      </c>
      <c r="R256" s="2">
        <v>526</v>
      </c>
      <c r="S256" s="301">
        <v>3.568399986431939E-3</v>
      </c>
      <c r="T256" s="14">
        <v>85.454544100000007</v>
      </c>
      <c r="U256" s="301">
        <v>0.46111111111111114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1818</v>
      </c>
      <c r="B257" s="2">
        <v>95</v>
      </c>
      <c r="C257" s="301">
        <v>1.6289716901867317E-3</v>
      </c>
      <c r="D257" s="2">
        <v>41.212121212121197</v>
      </c>
      <c r="E257" s="2">
        <v>60</v>
      </c>
      <c r="F257" s="301">
        <v>9.5935531322950977E-4</v>
      </c>
      <c r="G257" s="14">
        <v>26.6666666666666</v>
      </c>
      <c r="H257" s="2">
        <v>188</v>
      </c>
      <c r="I257" s="301">
        <v>2.9136896920477968E-3</v>
      </c>
      <c r="J257" s="14">
        <v>61.212119999999999</v>
      </c>
      <c r="K257" s="301">
        <v>0.97894736842105268</v>
      </c>
      <c r="L257" s="2">
        <v>281</v>
      </c>
      <c r="M257" s="301">
        <v>2.0340062685033043E-3</v>
      </c>
      <c r="N257" s="2">
        <v>72.121212121212096</v>
      </c>
      <c r="O257" s="2">
        <v>363</v>
      </c>
      <c r="P257" s="301">
        <v>2.5159935402039135E-3</v>
      </c>
      <c r="Q257" s="14">
        <v>89.696969696969703</v>
      </c>
      <c r="R257" s="2">
        <v>327</v>
      </c>
      <c r="S257" s="301">
        <v>2.2183779383331639E-3</v>
      </c>
      <c r="T257" s="14">
        <v>69.696969999999993</v>
      </c>
      <c r="U257" s="301">
        <v>0.16370106761565836</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1819</v>
      </c>
      <c r="B258" s="2">
        <v>7922</v>
      </c>
      <c r="C258" s="301">
        <v>0.1358390918911504</v>
      </c>
      <c r="D258" s="2">
        <v>506.666666666666</v>
      </c>
      <c r="E258" s="2">
        <v>9502</v>
      </c>
      <c r="F258" s="301">
        <v>0.15192990310511337</v>
      </c>
      <c r="G258" s="14">
        <v>583.030303030303</v>
      </c>
      <c r="H258" s="2">
        <v>9628</v>
      </c>
      <c r="I258" s="301">
        <v>0.14921810827146909</v>
      </c>
      <c r="J258" s="14">
        <v>829.09090000000003</v>
      </c>
      <c r="K258" s="301">
        <v>0.21534965917697552</v>
      </c>
      <c r="L258" s="2">
        <v>14254</v>
      </c>
      <c r="M258" s="301">
        <v>0.10317695854535978</v>
      </c>
      <c r="N258" s="2">
        <v>730.90909090909099</v>
      </c>
      <c r="O258" s="2">
        <v>18247</v>
      </c>
      <c r="P258" s="301">
        <v>0.12647199484325292</v>
      </c>
      <c r="Q258" s="14">
        <v>763.63636363636294</v>
      </c>
      <c r="R258" s="2">
        <v>15767</v>
      </c>
      <c r="S258" s="301">
        <v>0.10696380719785625</v>
      </c>
      <c r="T258" s="14">
        <v>1012.72729</v>
      </c>
      <c r="U258" s="301">
        <v>0.10614564332818859</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1806</v>
      </c>
      <c r="B259" s="2">
        <v>1036</v>
      </c>
      <c r="C259" s="301">
        <v>1.7764364958246882E-2</v>
      </c>
      <c r="D259" s="2">
        <v>152.72727272727201</v>
      </c>
      <c r="E259" s="2">
        <v>1507</v>
      </c>
      <c r="F259" s="301">
        <v>2.4095807617281188E-2</v>
      </c>
      <c r="G259" s="14">
        <v>209.69696969696901</v>
      </c>
      <c r="H259" s="2">
        <v>1115</v>
      </c>
      <c r="I259" s="301">
        <v>1.7280659609751562E-2</v>
      </c>
      <c r="J259" s="14">
        <v>160</v>
      </c>
      <c r="K259" s="301">
        <v>7.6254826254826255E-2</v>
      </c>
      <c r="L259" s="2">
        <v>1738</v>
      </c>
      <c r="M259" s="301">
        <v>1.2580437347540011E-2</v>
      </c>
      <c r="N259" s="2">
        <v>192.12121212121201</v>
      </c>
      <c r="O259" s="2">
        <v>2577</v>
      </c>
      <c r="P259" s="301">
        <v>1.7861474801943483E-2</v>
      </c>
      <c r="Q259" s="14">
        <v>213.939393939393</v>
      </c>
      <c r="R259" s="2">
        <v>1714</v>
      </c>
      <c r="S259" s="301">
        <v>1.1627828092669856E-2</v>
      </c>
      <c r="T259" s="14">
        <v>179.393936</v>
      </c>
      <c r="U259" s="301">
        <v>-1.3808975834292289E-2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1807</v>
      </c>
      <c r="B260" s="2">
        <v>211</v>
      </c>
      <c r="C260" s="301">
        <v>3.6180318592568461E-3</v>
      </c>
      <c r="D260" s="2">
        <v>64.242424242424207</v>
      </c>
      <c r="E260" s="2">
        <v>243</v>
      </c>
      <c r="F260" s="301">
        <v>3.8853890185795146E-3</v>
      </c>
      <c r="G260" s="14">
        <v>83.636363636363598</v>
      </c>
      <c r="H260" s="2">
        <v>278</v>
      </c>
      <c r="I260" s="301">
        <v>4.3085411403685509E-3</v>
      </c>
      <c r="J260" s="14">
        <v>99.393936199999999</v>
      </c>
      <c r="K260" s="301">
        <v>0.31753554502369669</v>
      </c>
      <c r="L260" s="2">
        <v>395</v>
      </c>
      <c r="M260" s="301">
        <v>2.8591903062590933E-3</v>
      </c>
      <c r="N260" s="2">
        <v>80.606060606060595</v>
      </c>
      <c r="O260" s="2">
        <v>317</v>
      </c>
      <c r="P260" s="301">
        <v>2.1971624028777974E-3</v>
      </c>
      <c r="Q260" s="14">
        <v>82.424242424242394</v>
      </c>
      <c r="R260" s="2">
        <v>377</v>
      </c>
      <c r="S260" s="301">
        <v>2.5575794579559717E-3</v>
      </c>
      <c r="T260" s="14">
        <v>102.42424</v>
      </c>
      <c r="U260" s="301">
        <v>-4.5569620253164557E-2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1808</v>
      </c>
      <c r="B261" s="2">
        <v>1085</v>
      </c>
      <c r="C261" s="301">
        <v>1.8604571408974778E-2</v>
      </c>
      <c r="D261" s="2">
        <v>142.42424242424201</v>
      </c>
      <c r="E261" s="2">
        <v>1476</v>
      </c>
      <c r="F261" s="301">
        <v>2.360014070544594E-2</v>
      </c>
      <c r="G261" s="14">
        <v>155.15151515151501</v>
      </c>
      <c r="H261" s="2">
        <v>1420</v>
      </c>
      <c r="I261" s="301">
        <v>2.200765618461634E-2</v>
      </c>
      <c r="J261" s="14">
        <v>195.75756799999999</v>
      </c>
      <c r="K261" s="301">
        <v>0.30875576036866359</v>
      </c>
      <c r="L261" s="2">
        <v>1929</v>
      </c>
      <c r="M261" s="301">
        <v>1.3962982533604534E-2</v>
      </c>
      <c r="N261" s="2">
        <v>210.30303030303</v>
      </c>
      <c r="O261" s="2">
        <v>2609</v>
      </c>
      <c r="P261" s="301">
        <v>1.8083270375735563E-2</v>
      </c>
      <c r="Q261" s="14">
        <v>243.030303030303</v>
      </c>
      <c r="R261" s="2">
        <v>1981</v>
      </c>
      <c r="S261" s="301">
        <v>1.343916420745565E-2</v>
      </c>
      <c r="T261" s="14">
        <v>267.878784</v>
      </c>
      <c r="U261" s="301">
        <v>2.6956972524624159E-2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1809</v>
      </c>
      <c r="B262" s="2">
        <v>642</v>
      </c>
      <c r="C262" s="301">
        <v>1.1008419211577702E-2</v>
      </c>
      <c r="D262" s="2">
        <v>113.939393939393</v>
      </c>
      <c r="E262" s="2">
        <v>625</v>
      </c>
      <c r="F262" s="301">
        <v>9.9932845128073936E-3</v>
      </c>
      <c r="G262" s="14">
        <v>98.787878787878796</v>
      </c>
      <c r="H262" s="2">
        <v>626</v>
      </c>
      <c r="I262" s="301">
        <v>9.7019667405421322E-3</v>
      </c>
      <c r="J262" s="14">
        <v>152.121216</v>
      </c>
      <c r="K262" s="301">
        <v>-2.4922118380062305E-2</v>
      </c>
      <c r="L262" s="2">
        <v>1140</v>
      </c>
      <c r="M262" s="301">
        <v>8.2518403775578893E-3</v>
      </c>
      <c r="N262" s="2">
        <v>133.333333333333</v>
      </c>
      <c r="O262" s="2">
        <v>949</v>
      </c>
      <c r="P262" s="301">
        <v>6.5776249852713877E-3</v>
      </c>
      <c r="Q262" s="14">
        <v>135.15151515151501</v>
      </c>
      <c r="R262" s="2">
        <v>915</v>
      </c>
      <c r="S262" s="301">
        <v>6.2073878090973846E-3</v>
      </c>
      <c r="T262" s="14">
        <v>183.636368</v>
      </c>
      <c r="U262" s="301">
        <v>-0.19736842105263158</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1810</v>
      </c>
      <c r="B263" s="2">
        <v>213</v>
      </c>
      <c r="C263" s="301">
        <v>3.6523260001028826E-3</v>
      </c>
      <c r="D263" s="2">
        <v>75.757575757575694</v>
      </c>
      <c r="E263" s="2">
        <v>153</v>
      </c>
      <c r="F263" s="301">
        <v>2.44635604873525E-3</v>
      </c>
      <c r="G263" s="14">
        <v>65.454545454545396</v>
      </c>
      <c r="H263" s="2">
        <v>279</v>
      </c>
      <c r="I263" s="301">
        <v>4.324039489794337E-3</v>
      </c>
      <c r="J263" s="14">
        <v>76.969695999999999</v>
      </c>
      <c r="K263" s="301">
        <v>0.30985915492957744</v>
      </c>
      <c r="L263" s="2">
        <v>408</v>
      </c>
      <c r="M263" s="301">
        <v>2.9532902403891395E-3</v>
      </c>
      <c r="N263" s="2">
        <v>93.939393939393895</v>
      </c>
      <c r="O263" s="2">
        <v>267</v>
      </c>
      <c r="P263" s="301">
        <v>1.8506068188276718E-3</v>
      </c>
      <c r="Q263" s="14">
        <v>84.242424242424207</v>
      </c>
      <c r="R263" s="2">
        <v>388</v>
      </c>
      <c r="S263" s="301">
        <v>2.6322037922729895E-3</v>
      </c>
      <c r="T263" s="14">
        <v>83.636359999999996</v>
      </c>
      <c r="U263" s="301">
        <v>-4.9019607843137254E-2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1811</v>
      </c>
      <c r="B264" s="2">
        <v>305</v>
      </c>
      <c r="C264" s="301">
        <v>5.2298564790205591E-3</v>
      </c>
      <c r="D264" s="2">
        <v>79.393939393939405</v>
      </c>
      <c r="E264" s="2">
        <v>437</v>
      </c>
      <c r="F264" s="301">
        <v>6.9873045313549294E-3</v>
      </c>
      <c r="G264" s="14">
        <v>98.181818181818201</v>
      </c>
      <c r="H264" s="2">
        <v>231</v>
      </c>
      <c r="I264" s="301">
        <v>3.5801187173566014E-3</v>
      </c>
      <c r="J264" s="14">
        <v>64.242424</v>
      </c>
      <c r="K264" s="301">
        <v>-0.24262295081967214</v>
      </c>
      <c r="L264" s="2">
        <v>435</v>
      </c>
      <c r="M264" s="301">
        <v>3.1487285651207735E-3</v>
      </c>
      <c r="N264" s="2">
        <v>91.515151515151501</v>
      </c>
      <c r="O264" s="2">
        <v>858</v>
      </c>
      <c r="P264" s="301">
        <v>5.9468938223001585E-3</v>
      </c>
      <c r="Q264" s="14">
        <v>113.333333333333</v>
      </c>
      <c r="R264" s="2">
        <v>440</v>
      </c>
      <c r="S264" s="301">
        <v>2.9849733726807098E-3</v>
      </c>
      <c r="T264" s="14">
        <v>90.303030000000007</v>
      </c>
      <c r="U264" s="301">
        <v>1.1494252873563218E-2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1812</v>
      </c>
      <c r="B265" s="2">
        <v>811</v>
      </c>
      <c r="C265" s="301">
        <v>1.3906274113067782E-2</v>
      </c>
      <c r="D265" s="2">
        <v>153.333333333333</v>
      </c>
      <c r="E265" s="2">
        <v>956</v>
      </c>
      <c r="F265" s="301">
        <v>1.5285727990790188E-2</v>
      </c>
      <c r="G265" s="14">
        <v>143.030303030303</v>
      </c>
      <c r="H265" s="2">
        <v>727</v>
      </c>
      <c r="I265" s="301">
        <v>1.1267300032546534E-2</v>
      </c>
      <c r="J265" s="14">
        <v>118.181816</v>
      </c>
      <c r="K265" s="301">
        <v>-0.10357583230579531</v>
      </c>
      <c r="L265" s="2">
        <v>1520</v>
      </c>
      <c r="M265" s="301">
        <v>1.1002453836743854E-2</v>
      </c>
      <c r="N265" s="2">
        <v>190.30303030303</v>
      </c>
      <c r="O265" s="2">
        <v>2075</v>
      </c>
      <c r="P265" s="301">
        <v>1.4382056738080221E-2</v>
      </c>
      <c r="Q265" s="14">
        <v>204.24242424242399</v>
      </c>
      <c r="R265" s="2">
        <v>1487</v>
      </c>
      <c r="S265" s="301">
        <v>1.0087853193582307E-2</v>
      </c>
      <c r="T265" s="14">
        <v>174.545456</v>
      </c>
      <c r="U265" s="301">
        <v>-2.1710526315789475E-2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1813</v>
      </c>
      <c r="B266" s="2">
        <v>1402</v>
      </c>
      <c r="C266" s="301">
        <v>2.4040192733071553E-2</v>
      </c>
      <c r="D266" s="2">
        <v>134.54545454545399</v>
      </c>
      <c r="E266" s="2">
        <v>1318</v>
      </c>
      <c r="F266" s="301">
        <v>2.107383838060823E-2</v>
      </c>
      <c r="G266" s="14">
        <v>166.06060606060601</v>
      </c>
      <c r="H266" s="2">
        <v>1639</v>
      </c>
      <c r="I266" s="301">
        <v>2.5401794708863504E-2</v>
      </c>
      <c r="J266" s="14">
        <v>253.33332799999999</v>
      </c>
      <c r="K266" s="301">
        <v>0.16904422253922968</v>
      </c>
      <c r="L266" s="2">
        <v>2427</v>
      </c>
      <c r="M266" s="301">
        <v>1.7567733856432455E-2</v>
      </c>
      <c r="N266" s="2">
        <v>216.969696969697</v>
      </c>
      <c r="O266" s="2">
        <v>2397</v>
      </c>
      <c r="P266" s="301">
        <v>1.661387469936303E-2</v>
      </c>
      <c r="Q266" s="14">
        <v>229.09090909090901</v>
      </c>
      <c r="R266" s="2">
        <v>2742</v>
      </c>
      <c r="S266" s="301">
        <v>1.8601811336114785E-2</v>
      </c>
      <c r="T266" s="14">
        <v>284.24243200000001</v>
      </c>
      <c r="U266" s="301">
        <v>0.12978986402966625</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1814</v>
      </c>
      <c r="B267" s="2">
        <v>838</v>
      </c>
      <c r="C267" s="301">
        <v>1.4369245014489275E-2</v>
      </c>
      <c r="D267" s="2">
        <v>95.757575757575694</v>
      </c>
      <c r="E267" s="2">
        <v>1334</v>
      </c>
      <c r="F267" s="301">
        <v>2.1329666464136102E-2</v>
      </c>
      <c r="G267" s="14">
        <v>161.81818181818099</v>
      </c>
      <c r="H267" s="2">
        <v>1270</v>
      </c>
      <c r="I267" s="301">
        <v>1.9682903770748415E-2</v>
      </c>
      <c r="J267" s="14">
        <v>220</v>
      </c>
      <c r="K267" s="301">
        <v>0.51551312649164682</v>
      </c>
      <c r="L267" s="2">
        <v>1451</v>
      </c>
      <c r="M267" s="301">
        <v>1.0503000340207454E-2</v>
      </c>
      <c r="N267" s="2">
        <v>129.09090909090901</v>
      </c>
      <c r="O267" s="2">
        <v>2236</v>
      </c>
      <c r="P267" s="301">
        <v>1.5497965718721626E-2</v>
      </c>
      <c r="Q267" s="14">
        <v>198.78787878787799</v>
      </c>
      <c r="R267" s="2">
        <v>1909</v>
      </c>
      <c r="S267" s="301">
        <v>1.2950714019198806E-2</v>
      </c>
      <c r="T267" s="14">
        <v>256.96969999999999</v>
      </c>
      <c r="U267" s="301">
        <v>0.315644383184011</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1815</v>
      </c>
      <c r="B268" s="2">
        <v>428</v>
      </c>
      <c r="C268" s="301">
        <v>7.3389461410518012E-3</v>
      </c>
      <c r="D268" s="2">
        <v>84.242424242424207</v>
      </c>
      <c r="E268" s="2">
        <v>672</v>
      </c>
      <c r="F268" s="301">
        <v>1.0744779508170509E-2</v>
      </c>
      <c r="G268" s="14">
        <v>101.212121212121</v>
      </c>
      <c r="H268" s="2">
        <v>842</v>
      </c>
      <c r="I268" s="301">
        <v>1.3049610216511942E-2</v>
      </c>
      <c r="J268" s="14">
        <v>192.72728000000001</v>
      </c>
      <c r="K268" s="301">
        <v>0.96728971962616828</v>
      </c>
      <c r="L268" s="2">
        <v>828</v>
      </c>
      <c r="M268" s="301">
        <v>5.9934419584367826E-3</v>
      </c>
      <c r="N268" s="2">
        <v>132.12121212121201</v>
      </c>
      <c r="O268" s="2">
        <v>1387</v>
      </c>
      <c r="P268" s="301">
        <v>9.6134519015504891E-3</v>
      </c>
      <c r="Q268" s="14">
        <v>141.81818181818099</v>
      </c>
      <c r="R268" s="2">
        <v>1276</v>
      </c>
      <c r="S268" s="301">
        <v>8.6564227807740587E-3</v>
      </c>
      <c r="T268" s="14">
        <v>210.909088</v>
      </c>
      <c r="U268" s="301">
        <v>0.54106280193236711</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1816</v>
      </c>
      <c r="B269" s="2">
        <v>462</v>
      </c>
      <c r="C269" s="301">
        <v>7.9219465354344216E-3</v>
      </c>
      <c r="D269" s="2">
        <v>95.757575757575694</v>
      </c>
      <c r="E269" s="2">
        <v>409</v>
      </c>
      <c r="F269" s="301">
        <v>6.5396053851811582E-3</v>
      </c>
      <c r="G269" s="14">
        <v>78.181818181818201</v>
      </c>
      <c r="H269" s="2">
        <v>537</v>
      </c>
      <c r="I269" s="301">
        <v>8.3226136416471638E-3</v>
      </c>
      <c r="J269" s="14">
        <v>105.454544</v>
      </c>
      <c r="K269" s="301">
        <v>0.16233766233766234</v>
      </c>
      <c r="L269" s="2">
        <v>1044</v>
      </c>
      <c r="M269" s="301">
        <v>7.556948556289857E-3</v>
      </c>
      <c r="N269" s="2">
        <v>129.69696969696901</v>
      </c>
      <c r="O269" s="2">
        <v>1342</v>
      </c>
      <c r="P269" s="301">
        <v>9.3015518759053759E-3</v>
      </c>
      <c r="Q269" s="14">
        <v>165.45454545454501</v>
      </c>
      <c r="R269" s="2">
        <v>1144</v>
      </c>
      <c r="S269" s="301">
        <v>7.7609307689698454E-3</v>
      </c>
      <c r="T269" s="14">
        <v>145.454544</v>
      </c>
      <c r="U269" s="301">
        <v>9.5785440613026823E-2</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1817</v>
      </c>
      <c r="B270" s="2">
        <v>232</v>
      </c>
      <c r="C270" s="301">
        <v>3.9781203381402284E-3</v>
      </c>
      <c r="D270" s="2">
        <v>84.848484848484802</v>
      </c>
      <c r="E270" s="2">
        <v>216</v>
      </c>
      <c r="F270" s="301">
        <v>3.453679127626235E-3</v>
      </c>
      <c r="G270" s="14">
        <v>59.393939393939398</v>
      </c>
      <c r="H270" s="2">
        <v>360</v>
      </c>
      <c r="I270" s="301">
        <v>5.5794057932830156E-3</v>
      </c>
      <c r="J270" s="14">
        <v>100.606064</v>
      </c>
      <c r="K270" s="301">
        <v>0.55172413793103448</v>
      </c>
      <c r="L270" s="2">
        <v>475</v>
      </c>
      <c r="M270" s="301">
        <v>3.438266823982454E-3</v>
      </c>
      <c r="N270" s="2">
        <v>101.212121212121</v>
      </c>
      <c r="O270" s="2">
        <v>688</v>
      </c>
      <c r="P270" s="301">
        <v>4.768604836529731E-3</v>
      </c>
      <c r="Q270" s="14">
        <v>98.787878787878796</v>
      </c>
      <c r="R270" s="2">
        <v>820</v>
      </c>
      <c r="S270" s="301">
        <v>5.56290492181405E-3</v>
      </c>
      <c r="T270" s="14">
        <v>142.42424</v>
      </c>
      <c r="U270" s="301">
        <v>0.72631578947368425</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1818</v>
      </c>
      <c r="B271" s="2">
        <v>257</v>
      </c>
      <c r="C271" s="301">
        <v>4.4067970987156846E-3</v>
      </c>
      <c r="D271" s="2">
        <v>61.212121212121197</v>
      </c>
      <c r="E271" s="2">
        <v>156</v>
      </c>
      <c r="F271" s="301">
        <v>2.4943238143967255E-3</v>
      </c>
      <c r="G271" s="14">
        <v>43.030303030303003</v>
      </c>
      <c r="H271" s="2">
        <v>304</v>
      </c>
      <c r="I271" s="301">
        <v>4.711498225438991E-3</v>
      </c>
      <c r="J271" s="14">
        <v>78.181816100000006</v>
      </c>
      <c r="K271" s="301">
        <v>0.1828793774319066</v>
      </c>
      <c r="L271" s="2">
        <v>464</v>
      </c>
      <c r="M271" s="301">
        <v>3.3586438027954917E-3</v>
      </c>
      <c r="N271" s="2">
        <v>84.848484848484802</v>
      </c>
      <c r="O271" s="2">
        <v>545</v>
      </c>
      <c r="P271" s="301">
        <v>3.7774558661463711E-3</v>
      </c>
      <c r="Q271" s="14">
        <v>109.09090909090899</v>
      </c>
      <c r="R271" s="2">
        <v>574</v>
      </c>
      <c r="S271" s="301">
        <v>3.8940334452698348E-3</v>
      </c>
      <c r="T271" s="14">
        <v>112.727272</v>
      </c>
      <c r="U271" s="301">
        <v>0.23706896551724138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1820</v>
      </c>
      <c r="B272" s="2">
        <v>43329</v>
      </c>
      <c r="C272" s="301">
        <v>0.7429654143589568</v>
      </c>
      <c r="D272" s="2">
        <v>885.45454545454504</v>
      </c>
      <c r="E272" s="2">
        <v>45272</v>
      </c>
      <c r="F272" s="301">
        <v>0.72386556234210608</v>
      </c>
      <c r="G272" s="14">
        <v>1101.8181818181799</v>
      </c>
      <c r="H272" s="2">
        <v>47689</v>
      </c>
      <c r="I272" s="301">
        <v>0.73910078576631588</v>
      </c>
      <c r="J272" s="14">
        <v>1446.6666299999999</v>
      </c>
      <c r="K272" s="301">
        <v>0.10062544716010062</v>
      </c>
      <c r="L272" s="2">
        <v>111495</v>
      </c>
      <c r="M272" s="301">
        <v>0.80705170429457618</v>
      </c>
      <c r="N272" s="2">
        <v>1530.30303030303</v>
      </c>
      <c r="O272" s="2">
        <v>110309</v>
      </c>
      <c r="P272" s="301">
        <v>0.76456399841970657</v>
      </c>
      <c r="Q272" s="14">
        <v>1513.3333333333301</v>
      </c>
      <c r="R272" s="2">
        <v>119343</v>
      </c>
      <c r="S272" s="301">
        <v>0.80962653912689531</v>
      </c>
      <c r="T272" s="14">
        <v>1849.6969999999999</v>
      </c>
      <c r="U272" s="301">
        <v>7.0388806672944976E-2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1805</v>
      </c>
      <c r="B273" s="2">
        <v>23117</v>
      </c>
      <c r="C273" s="301">
        <v>0.39638882696891237</v>
      </c>
      <c r="D273" s="2">
        <v>587.27272727272702</v>
      </c>
      <c r="E273" s="2">
        <v>22999</v>
      </c>
      <c r="F273" s="301">
        <v>0.36773688081609157</v>
      </c>
      <c r="G273" s="14">
        <v>691.51515151515105</v>
      </c>
      <c r="H273" s="2">
        <v>24157</v>
      </c>
      <c r="I273" s="301">
        <v>0.3743936270787161</v>
      </c>
      <c r="J273" s="14">
        <v>815.75756799999999</v>
      </c>
      <c r="K273" s="301">
        <v>4.4988536574815073E-2</v>
      </c>
      <c r="L273" s="2">
        <v>57795</v>
      </c>
      <c r="M273" s="301">
        <v>0.41834659177277039</v>
      </c>
      <c r="N273" s="2">
        <v>776.36363636363603</v>
      </c>
      <c r="O273" s="2">
        <v>56335</v>
      </c>
      <c r="P273" s="301">
        <v>0.39046417654927673</v>
      </c>
      <c r="Q273" s="14">
        <v>893.33333333333303</v>
      </c>
      <c r="R273" s="2">
        <v>59510</v>
      </c>
      <c r="S273" s="301">
        <v>0.40371764865506599</v>
      </c>
      <c r="T273" s="14">
        <v>909.69695999999999</v>
      </c>
      <c r="U273" s="301">
        <v>2.9673847218617527E-2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1806</v>
      </c>
      <c r="B274" s="2">
        <v>2026</v>
      </c>
      <c r="C274" s="301">
        <v>3.4739964677034926E-2</v>
      </c>
      <c r="D274" s="2">
        <v>214.54545454545399</v>
      </c>
      <c r="E274" s="2">
        <v>1782</v>
      </c>
      <c r="F274" s="301">
        <v>2.8492852802916441E-2</v>
      </c>
      <c r="G274" s="2">
        <v>203.030303030303</v>
      </c>
      <c r="H274" s="2">
        <v>1887</v>
      </c>
      <c r="I274" s="301">
        <v>2.9245385366458473E-2</v>
      </c>
      <c r="J274" s="14">
        <v>233.939392</v>
      </c>
      <c r="K274" s="301">
        <v>-6.8608094768015798E-2</v>
      </c>
      <c r="L274" s="2">
        <v>4019</v>
      </c>
      <c r="M274" s="301">
        <v>2.909135655912733E-2</v>
      </c>
      <c r="N274" s="2">
        <v>235.15151515151501</v>
      </c>
      <c r="O274" s="2">
        <v>3819</v>
      </c>
      <c r="P274" s="301">
        <v>2.6469915509748608E-2</v>
      </c>
      <c r="Q274" s="2">
        <v>204.24242424242399</v>
      </c>
      <c r="R274" s="2">
        <v>4142</v>
      </c>
      <c r="S274" s="301">
        <v>2.8099453885553408E-2</v>
      </c>
      <c r="T274" s="14">
        <v>194.545456</v>
      </c>
      <c r="U274" s="301">
        <v>3.0604628016919631E-2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1807</v>
      </c>
      <c r="B275" s="2">
        <v>375</v>
      </c>
      <c r="C275" s="301">
        <v>6.4301514086318352E-3</v>
      </c>
      <c r="D275" s="2">
        <v>92.727272727272705</v>
      </c>
      <c r="E275" s="2">
        <v>501</v>
      </c>
      <c r="F275" s="301">
        <v>8.0106168654664068E-3</v>
      </c>
      <c r="G275" s="14">
        <v>136.969696969696</v>
      </c>
      <c r="H275" s="2">
        <v>337</v>
      </c>
      <c r="I275" s="301">
        <v>5.2229437564899339E-3</v>
      </c>
      <c r="J275" s="14">
        <v>114.545456</v>
      </c>
      <c r="K275" s="301">
        <v>-0.10133333333333333</v>
      </c>
      <c r="L275" s="2">
        <v>741</v>
      </c>
      <c r="M275" s="301">
        <v>5.363696245412628E-3</v>
      </c>
      <c r="N275" s="2">
        <v>108.484848484848</v>
      </c>
      <c r="O275" s="2">
        <v>971</v>
      </c>
      <c r="P275" s="301">
        <v>6.7301094422534428E-3</v>
      </c>
      <c r="Q275" s="14">
        <v>187.272727272727</v>
      </c>
      <c r="R275" s="2">
        <v>867</v>
      </c>
      <c r="S275" s="301">
        <v>5.8817543502594893E-3</v>
      </c>
      <c r="T275" s="14">
        <v>155.15152</v>
      </c>
      <c r="U275" s="301">
        <v>0.17004048582995951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1808</v>
      </c>
      <c r="B276" s="2">
        <v>2253</v>
      </c>
      <c r="C276" s="301">
        <v>3.8632349663060069E-2</v>
      </c>
      <c r="D276" s="2">
        <v>201.21212121212099</v>
      </c>
      <c r="E276" s="2">
        <v>1937</v>
      </c>
      <c r="F276" s="301">
        <v>3.0971187362092673E-2</v>
      </c>
      <c r="G276" s="14">
        <v>201.81818181818099</v>
      </c>
      <c r="H276" s="2">
        <v>2162</v>
      </c>
      <c r="I276" s="301">
        <v>3.3507431458549668E-2</v>
      </c>
      <c r="J276" s="14">
        <v>241.21212800000001</v>
      </c>
      <c r="K276" s="301">
        <v>-4.0390590324012425E-2</v>
      </c>
      <c r="L276" s="2">
        <v>4578</v>
      </c>
      <c r="M276" s="301">
        <v>3.3137653726719313E-2</v>
      </c>
      <c r="N276" s="2">
        <v>238.78787878787799</v>
      </c>
      <c r="O276" s="2">
        <v>4745</v>
      </c>
      <c r="P276" s="301">
        <v>3.288812492635694E-2</v>
      </c>
      <c r="Q276" s="14">
        <v>284.84848484848402</v>
      </c>
      <c r="R276" s="2">
        <v>4672</v>
      </c>
      <c r="S276" s="301">
        <v>3.1694989993555168E-2</v>
      </c>
      <c r="T276" s="14">
        <v>305.45455900000002</v>
      </c>
      <c r="U276" s="301">
        <v>2.0532983835736131E-2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1809</v>
      </c>
      <c r="B277" s="2">
        <v>1439</v>
      </c>
      <c r="C277" s="301">
        <v>2.4674634338723231E-2</v>
      </c>
      <c r="D277" s="2">
        <v>182.42424242424201</v>
      </c>
      <c r="E277" s="2">
        <v>1096</v>
      </c>
      <c r="F277" s="301">
        <v>1.7524223721659044E-2</v>
      </c>
      <c r="G277" s="14">
        <v>161.81818181818099</v>
      </c>
      <c r="H277" s="2">
        <v>1080</v>
      </c>
      <c r="I277" s="301">
        <v>1.6738217379849048E-2</v>
      </c>
      <c r="J277" s="14">
        <v>179.393936</v>
      </c>
      <c r="K277" s="301">
        <v>-0.24947880472550382</v>
      </c>
      <c r="L277" s="2">
        <v>3024</v>
      </c>
      <c r="M277" s="301">
        <v>2.1889092369943033E-2</v>
      </c>
      <c r="N277" s="2">
        <v>206.06060606060601</v>
      </c>
      <c r="O277" s="2">
        <v>2546</v>
      </c>
      <c r="P277" s="301">
        <v>1.7646610339832405E-2</v>
      </c>
      <c r="Q277" s="14">
        <v>227.87878787878699</v>
      </c>
      <c r="R277" s="2">
        <v>2894</v>
      </c>
      <c r="S277" s="301">
        <v>1.9632983955768121E-2</v>
      </c>
      <c r="T277" s="14">
        <v>269.09089999999998</v>
      </c>
      <c r="U277" s="301">
        <v>-4.2989417989417987E-2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1810</v>
      </c>
      <c r="B278" s="2">
        <v>400</v>
      </c>
      <c r="C278" s="301">
        <v>6.8588281692072905E-3</v>
      </c>
      <c r="D278" s="2">
        <v>76.363636363636303</v>
      </c>
      <c r="E278" s="2">
        <v>284</v>
      </c>
      <c r="F278" s="301">
        <v>4.5409484826196798E-3</v>
      </c>
      <c r="G278" s="14">
        <v>98.181818181818201</v>
      </c>
      <c r="H278" s="2">
        <v>323</v>
      </c>
      <c r="I278" s="301">
        <v>5.0059668645289273E-3</v>
      </c>
      <c r="J278" s="14">
        <v>98.787880000000001</v>
      </c>
      <c r="K278" s="301">
        <v>-0.1925</v>
      </c>
      <c r="L278" s="2">
        <v>919</v>
      </c>
      <c r="M278" s="301">
        <v>6.6521414973471056E-3</v>
      </c>
      <c r="N278" s="2">
        <v>118.787878787878</v>
      </c>
      <c r="O278" s="2">
        <v>807</v>
      </c>
      <c r="P278" s="301">
        <v>5.5934071265690303E-3</v>
      </c>
      <c r="Q278" s="14">
        <v>122.424242424242</v>
      </c>
      <c r="R278" s="2">
        <v>749</v>
      </c>
      <c r="S278" s="301">
        <v>5.0812387639496623E-3</v>
      </c>
      <c r="T278" s="14">
        <v>124.242424</v>
      </c>
      <c r="U278" s="301">
        <v>-0.18498367791077258</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1811</v>
      </c>
      <c r="B279" s="2">
        <v>667</v>
      </c>
      <c r="C279" s="301">
        <v>1.1437095972153158E-2</v>
      </c>
      <c r="D279" s="2">
        <v>100</v>
      </c>
      <c r="E279" s="2">
        <v>878</v>
      </c>
      <c r="F279" s="301">
        <v>1.4038566083591827E-2</v>
      </c>
      <c r="G279" s="14">
        <v>141.81818181818099</v>
      </c>
      <c r="H279" s="2">
        <v>1241</v>
      </c>
      <c r="I279" s="301">
        <v>1.9233451637400617E-2</v>
      </c>
      <c r="J279" s="14">
        <v>143.03030000000001</v>
      </c>
      <c r="K279" s="301">
        <v>0.86056971514242875</v>
      </c>
      <c r="L279" s="2">
        <v>2054</v>
      </c>
      <c r="M279" s="301">
        <v>1.4867789592547285E-2</v>
      </c>
      <c r="N279" s="2">
        <v>161.21212121212099</v>
      </c>
      <c r="O279" s="2">
        <v>1818</v>
      </c>
      <c r="P279" s="301">
        <v>1.2600761036062573E-2</v>
      </c>
      <c r="Q279" s="14">
        <v>153.333333333333</v>
      </c>
      <c r="R279" s="2">
        <v>2050</v>
      </c>
      <c r="S279" s="301">
        <v>1.3907262304535125E-2</v>
      </c>
      <c r="T279" s="14">
        <v>150.30302399999999</v>
      </c>
      <c r="U279" s="301">
        <v>-1.9474196689386564E-3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1812</v>
      </c>
      <c r="B280" s="2">
        <v>3192</v>
      </c>
      <c r="C280" s="301">
        <v>5.4733448790274183E-2</v>
      </c>
      <c r="D280" s="2">
        <v>195.15151515151501</v>
      </c>
      <c r="E280" s="2">
        <v>3256</v>
      </c>
      <c r="F280" s="301">
        <v>5.2061014997921394E-2</v>
      </c>
      <c r="G280" s="14">
        <v>216.363636363636</v>
      </c>
      <c r="H280" s="2">
        <v>2886</v>
      </c>
      <c r="I280" s="301">
        <v>4.4728236442818842E-2</v>
      </c>
      <c r="J280" s="14">
        <v>200.606064</v>
      </c>
      <c r="K280" s="301">
        <v>-9.5864661654135333E-2</v>
      </c>
      <c r="L280" s="2">
        <v>6149</v>
      </c>
      <c r="M280" s="301">
        <v>4.4509268843511807E-2</v>
      </c>
      <c r="N280" s="2">
        <v>190.90909090909</v>
      </c>
      <c r="O280" s="2">
        <v>6003</v>
      </c>
      <c r="P280" s="301">
        <v>4.1607463421058102E-2</v>
      </c>
      <c r="Q280" s="14">
        <v>218.78787878787799</v>
      </c>
      <c r="R280" s="2">
        <v>5997</v>
      </c>
      <c r="S280" s="301">
        <v>4.0683830263559581E-2</v>
      </c>
      <c r="T280" s="14">
        <v>196.363632</v>
      </c>
      <c r="U280" s="301">
        <v>-2.4719466579931695E-2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1813</v>
      </c>
      <c r="B281" s="2">
        <v>3528</v>
      </c>
      <c r="C281" s="301">
        <v>6.0494864452408308E-2</v>
      </c>
      <c r="D281" s="2">
        <v>244.24242424242399</v>
      </c>
      <c r="E281" s="2">
        <v>3709</v>
      </c>
      <c r="F281" s="301">
        <v>5.9304147612804198E-2</v>
      </c>
      <c r="G281" s="14">
        <v>284.24242424242402</v>
      </c>
      <c r="H281" s="2">
        <v>3995</v>
      </c>
      <c r="I281" s="301">
        <v>6.1915905956015684E-2</v>
      </c>
      <c r="J281" s="14">
        <v>244.24243200000001</v>
      </c>
      <c r="K281" s="301">
        <v>0.13236961451247165</v>
      </c>
      <c r="L281" s="2">
        <v>7448</v>
      </c>
      <c r="M281" s="301">
        <v>5.3912023800044881E-2</v>
      </c>
      <c r="N281" s="2">
        <v>165.45454545454501</v>
      </c>
      <c r="O281" s="2">
        <v>7353</v>
      </c>
      <c r="P281" s="301">
        <v>5.09644641904115E-2</v>
      </c>
      <c r="Q281" s="14">
        <v>266.666666666666</v>
      </c>
      <c r="R281" s="2">
        <v>8286</v>
      </c>
      <c r="S281" s="301">
        <v>5.6212475831891727E-2</v>
      </c>
      <c r="T281" s="14">
        <v>190.30302399999999</v>
      </c>
      <c r="U281" s="301">
        <v>0.11251342642320086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1814</v>
      </c>
      <c r="B282" s="2">
        <v>3166</v>
      </c>
      <c r="C282" s="301">
        <v>5.4287624959275707E-2</v>
      </c>
      <c r="D282" s="2">
        <v>172.12121212121201</v>
      </c>
      <c r="E282" s="2">
        <v>3015</v>
      </c>
      <c r="F282" s="301">
        <v>4.8207604489782868E-2</v>
      </c>
      <c r="G282" s="14">
        <v>204.24242424242399</v>
      </c>
      <c r="H282" s="2">
        <v>3134</v>
      </c>
      <c r="I282" s="301">
        <v>4.8571827100413807E-2</v>
      </c>
      <c r="J282" s="14">
        <v>237.57576</v>
      </c>
      <c r="K282" s="301">
        <v>-1.010739102969046E-2</v>
      </c>
      <c r="L282" s="2">
        <v>7489</v>
      </c>
      <c r="M282" s="301">
        <v>5.4208800515378103E-2</v>
      </c>
      <c r="N282" s="2">
        <v>170.90909090909</v>
      </c>
      <c r="O282" s="2">
        <v>6576</v>
      </c>
      <c r="P282" s="301">
        <v>4.5578990414272547E-2</v>
      </c>
      <c r="Q282" s="14">
        <v>184.24242424242399</v>
      </c>
      <c r="R282" s="2">
        <v>7120</v>
      </c>
      <c r="S282" s="301">
        <v>4.8302296394287847E-2</v>
      </c>
      <c r="T282" s="14">
        <v>192.72728000000001</v>
      </c>
      <c r="U282" s="301">
        <v>-4.9272265990118844E-2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1815</v>
      </c>
      <c r="B283" s="2">
        <v>2583</v>
      </c>
      <c r="C283" s="301">
        <v>4.4290882902656079E-2</v>
      </c>
      <c r="D283" s="2">
        <v>161.81818181818099</v>
      </c>
      <c r="E283" s="2">
        <v>2736</v>
      </c>
      <c r="F283" s="301">
        <v>4.3746602283265643E-2</v>
      </c>
      <c r="G283" s="14">
        <v>178.18181818181799</v>
      </c>
      <c r="H283" s="2">
        <v>2799</v>
      </c>
      <c r="I283" s="301">
        <v>4.3379880042775446E-2</v>
      </c>
      <c r="J283" s="14">
        <v>218.18182400000001</v>
      </c>
      <c r="K283" s="301">
        <v>8.3623693379790948E-2</v>
      </c>
      <c r="L283" s="2">
        <v>7710</v>
      </c>
      <c r="M283" s="301">
        <v>5.5808499395588886E-2</v>
      </c>
      <c r="N283" s="2">
        <v>172.72727272727201</v>
      </c>
      <c r="O283" s="2">
        <v>6951</v>
      </c>
      <c r="P283" s="301">
        <v>4.8178157294648485E-2</v>
      </c>
      <c r="Q283" s="14">
        <v>195.75757575757501</v>
      </c>
      <c r="R283" s="2">
        <v>6488</v>
      </c>
      <c r="S283" s="301">
        <v>4.4014789186255551E-2</v>
      </c>
      <c r="T283" s="14">
        <v>205.454544</v>
      </c>
      <c r="U283" s="301">
        <v>-0.15849546044098572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1816</v>
      </c>
      <c r="B284" s="2">
        <v>1590</v>
      </c>
      <c r="C284" s="301">
        <v>2.7263841972598981E-2</v>
      </c>
      <c r="D284" s="2">
        <v>142.42424242424201</v>
      </c>
      <c r="E284" s="2">
        <v>1884</v>
      </c>
      <c r="F284" s="301">
        <v>3.0123756835406607E-2</v>
      </c>
      <c r="G284" s="14">
        <v>137.575757575757</v>
      </c>
      <c r="H284" s="2">
        <v>2191</v>
      </c>
      <c r="I284" s="301">
        <v>3.3956883591897462E-2</v>
      </c>
      <c r="J284" s="14">
        <v>163.03030000000001</v>
      </c>
      <c r="K284" s="301">
        <v>0.37798742138364783</v>
      </c>
      <c r="L284" s="2">
        <v>6687</v>
      </c>
      <c r="M284" s="301">
        <v>4.8403558425201408E-2</v>
      </c>
      <c r="N284" s="2">
        <v>105.454545454545</v>
      </c>
      <c r="O284" s="2">
        <v>6682</v>
      </c>
      <c r="P284" s="301">
        <v>4.6313688252458809E-2</v>
      </c>
      <c r="Q284" s="14">
        <v>138.78787878787799</v>
      </c>
      <c r="R284" s="2">
        <v>6985</v>
      </c>
      <c r="S284" s="301">
        <v>4.7386452291306266E-2</v>
      </c>
      <c r="T284" s="14">
        <v>143.636368</v>
      </c>
      <c r="U284" s="301">
        <v>4.4564079557350082E-2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1817</v>
      </c>
      <c r="B285" s="2">
        <v>1114</v>
      </c>
      <c r="C285" s="301">
        <v>1.9101836451242304E-2</v>
      </c>
      <c r="D285" s="2">
        <v>126.666666666666</v>
      </c>
      <c r="E285" s="2">
        <v>1137</v>
      </c>
      <c r="F285" s="301">
        <v>1.8179783185699211E-2</v>
      </c>
      <c r="G285" s="14">
        <v>117.575757575757</v>
      </c>
      <c r="H285" s="2">
        <v>1226</v>
      </c>
      <c r="I285" s="301">
        <v>1.9000976396013825E-2</v>
      </c>
      <c r="J285" s="14">
        <v>158.18182400000001</v>
      </c>
      <c r="K285" s="301">
        <v>0.10053859964093358</v>
      </c>
      <c r="L285" s="2">
        <v>4149</v>
      </c>
      <c r="M285" s="301">
        <v>3.0032355900427792E-2</v>
      </c>
      <c r="N285" s="2">
        <v>103.636363636363</v>
      </c>
      <c r="O285" s="2">
        <v>4920</v>
      </c>
      <c r="P285" s="301">
        <v>3.4101069470532382E-2</v>
      </c>
      <c r="Q285" s="14">
        <v>97.575757575757606</v>
      </c>
      <c r="R285" s="2">
        <v>5725</v>
      </c>
      <c r="S285" s="301">
        <v>3.8838573996811503E-2</v>
      </c>
      <c r="T285" s="14">
        <v>105.454544</v>
      </c>
      <c r="U285" s="301">
        <v>0.37985056640154252</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1818</v>
      </c>
      <c r="B286" s="2">
        <v>784</v>
      </c>
      <c r="C286" s="301">
        <v>1.3443303211646291E-2</v>
      </c>
      <c r="D286" s="2">
        <v>95.757575757575694</v>
      </c>
      <c r="E286" s="2">
        <v>784</v>
      </c>
      <c r="F286" s="301">
        <v>1.2535576092865595E-2</v>
      </c>
      <c r="G286" s="14">
        <v>101.818181818181</v>
      </c>
      <c r="H286" s="2">
        <v>896</v>
      </c>
      <c r="I286" s="301">
        <v>1.3886521085504394E-2</v>
      </c>
      <c r="J286" s="14">
        <v>140.606064</v>
      </c>
      <c r="K286" s="301">
        <v>0.14285714285714285</v>
      </c>
      <c r="L286" s="2">
        <v>2828</v>
      </c>
      <c r="M286" s="301">
        <v>2.0470354901520799E-2</v>
      </c>
      <c r="N286" s="2">
        <v>95.757575757575694</v>
      </c>
      <c r="O286" s="2">
        <v>3144</v>
      </c>
      <c r="P286" s="301">
        <v>2.1791415125071909E-2</v>
      </c>
      <c r="Q286" s="14">
        <v>109.09090909090899</v>
      </c>
      <c r="R286" s="2">
        <v>3535</v>
      </c>
      <c r="S286" s="301">
        <v>2.398154743733252E-2</v>
      </c>
      <c r="T286" s="14">
        <v>73.333335899999994</v>
      </c>
      <c r="U286" s="301">
        <v>0.25</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1819</v>
      </c>
      <c r="B287" s="2">
        <v>20212</v>
      </c>
      <c r="C287" s="301">
        <v>0.34657658739004443</v>
      </c>
      <c r="D287" s="2">
        <v>613.93939393939399</v>
      </c>
      <c r="E287" s="2">
        <v>22273</v>
      </c>
      <c r="F287" s="301">
        <v>0.35612868152601451</v>
      </c>
      <c r="G287" s="14">
        <v>673.33333333333303</v>
      </c>
      <c r="H287" s="2">
        <v>23532</v>
      </c>
      <c r="I287" s="301">
        <v>0.36470715868759979</v>
      </c>
      <c r="J287" s="14">
        <v>818.78790000000004</v>
      </c>
      <c r="K287" s="301">
        <v>0.16425885612507421</v>
      </c>
      <c r="L287" s="2">
        <v>53700</v>
      </c>
      <c r="M287" s="301">
        <v>0.38870511252180584</v>
      </c>
      <c r="N287" s="2">
        <v>934.54545454545405</v>
      </c>
      <c r="O287" s="2">
        <v>53974</v>
      </c>
      <c r="P287" s="301">
        <v>0.37409982187042978</v>
      </c>
      <c r="Q287" s="14">
        <v>844.24242424242402</v>
      </c>
      <c r="R287" s="2">
        <v>59833</v>
      </c>
      <c r="S287" s="301">
        <v>0.40590889047182932</v>
      </c>
      <c r="T287" s="14">
        <v>1072.72729</v>
      </c>
      <c r="U287" s="301">
        <v>0.11420856610800745</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1806</v>
      </c>
      <c r="B288" s="2">
        <v>1692</v>
      </c>
      <c r="C288" s="301">
        <v>2.9012843155746839E-2</v>
      </c>
      <c r="D288" s="2">
        <v>206.06060606060601</v>
      </c>
      <c r="E288" s="2">
        <v>1670</v>
      </c>
      <c r="F288" s="301">
        <v>2.6702056218221356E-2</v>
      </c>
      <c r="G288" s="14">
        <v>209.69696969696901</v>
      </c>
      <c r="H288" s="2">
        <v>1888</v>
      </c>
      <c r="I288" s="301">
        <v>2.926088371588426E-2</v>
      </c>
      <c r="J288" s="14">
        <v>196.96969999999999</v>
      </c>
      <c r="K288" s="301">
        <v>0.11583924349881797</v>
      </c>
      <c r="L288" s="2">
        <v>3977</v>
      </c>
      <c r="M288" s="301">
        <v>2.8787341387322567E-2</v>
      </c>
      <c r="N288" s="2">
        <v>209.69696969696901</v>
      </c>
      <c r="O288" s="2">
        <v>3171</v>
      </c>
      <c r="P288" s="301">
        <v>2.1978555140458978E-2</v>
      </c>
      <c r="Q288" s="14">
        <v>201.21212121212099</v>
      </c>
      <c r="R288" s="2">
        <v>3789</v>
      </c>
      <c r="S288" s="301">
        <v>2.5704691157016384E-2</v>
      </c>
      <c r="T288" s="14">
        <v>183.636368</v>
      </c>
      <c r="U288" s="301">
        <v>-4.7271812924314809E-2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1807</v>
      </c>
      <c r="B289" s="2">
        <v>395</v>
      </c>
      <c r="C289" s="301">
        <v>6.7730928170922E-3</v>
      </c>
      <c r="D289" s="2">
        <v>96.969696969696898</v>
      </c>
      <c r="E289" s="2">
        <v>353</v>
      </c>
      <c r="F289" s="301">
        <v>5.6442070928336158E-3</v>
      </c>
      <c r="G289" s="14">
        <v>90.909090909090907</v>
      </c>
      <c r="H289" s="2">
        <v>557</v>
      </c>
      <c r="I289" s="301">
        <v>8.632580630162888E-3</v>
      </c>
      <c r="J289" s="14">
        <v>129.090912</v>
      </c>
      <c r="K289" s="301">
        <v>0.41012658227848103</v>
      </c>
      <c r="L289" s="2">
        <v>707</v>
      </c>
      <c r="M289" s="301">
        <v>5.1175887253801997E-3</v>
      </c>
      <c r="N289" s="2">
        <v>106.666666666666</v>
      </c>
      <c r="O289" s="2">
        <v>652</v>
      </c>
      <c r="P289" s="301">
        <v>4.5190848160136408E-3</v>
      </c>
      <c r="Q289" s="14">
        <v>109.69696969696901</v>
      </c>
      <c r="R289" s="2">
        <v>999</v>
      </c>
      <c r="S289" s="301">
        <v>6.7772463620637017E-3</v>
      </c>
      <c r="T289" s="14">
        <v>164.84848</v>
      </c>
      <c r="U289" s="301">
        <v>0.41301272984441301</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1808</v>
      </c>
      <c r="B290" s="2">
        <v>1619</v>
      </c>
      <c r="C290" s="301">
        <v>2.7761107014866511E-2</v>
      </c>
      <c r="D290" s="2">
        <v>164.24242424242399</v>
      </c>
      <c r="E290" s="2">
        <v>2287</v>
      </c>
      <c r="F290" s="301">
        <v>3.6567426689264812E-2</v>
      </c>
      <c r="G290" s="14">
        <v>229.69696969696901</v>
      </c>
      <c r="H290" s="2">
        <v>2793</v>
      </c>
      <c r="I290" s="301">
        <v>4.3286889946220729E-2</v>
      </c>
      <c r="J290" s="14">
        <v>284.24243200000001</v>
      </c>
      <c r="K290" s="301">
        <v>0.72513897467572574</v>
      </c>
      <c r="L290" s="2">
        <v>3972</v>
      </c>
      <c r="M290" s="301">
        <v>2.8751149104964856E-2</v>
      </c>
      <c r="N290" s="2">
        <v>235.75757575757501</v>
      </c>
      <c r="O290" s="2">
        <v>5036</v>
      </c>
      <c r="P290" s="301">
        <v>3.4905078425528674E-2</v>
      </c>
      <c r="Q290" s="14">
        <v>298.18181818181802</v>
      </c>
      <c r="R290" s="2">
        <v>5648</v>
      </c>
      <c r="S290" s="301">
        <v>3.8316203656592385E-2</v>
      </c>
      <c r="T290" s="14">
        <v>353.93939999999998</v>
      </c>
      <c r="U290" s="301">
        <v>0.42195367573011078</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1809</v>
      </c>
      <c r="B291" s="2">
        <v>1140</v>
      </c>
      <c r="C291" s="301">
        <v>1.9547660282240781E-2</v>
      </c>
      <c r="D291" s="2">
        <v>131.51515151515099</v>
      </c>
      <c r="E291" s="2">
        <v>978</v>
      </c>
      <c r="F291" s="301">
        <v>1.5637491605641009E-2</v>
      </c>
      <c r="G291" s="14">
        <v>155.15151515151501</v>
      </c>
      <c r="H291" s="2">
        <v>778</v>
      </c>
      <c r="I291" s="301">
        <v>1.2057715853261628E-2</v>
      </c>
      <c r="J291" s="14">
        <v>153.33332799999999</v>
      </c>
      <c r="K291" s="301">
        <v>-0.31754385964912279</v>
      </c>
      <c r="L291" s="2">
        <v>2676</v>
      </c>
      <c r="M291" s="301">
        <v>1.9370109517846415E-2</v>
      </c>
      <c r="N291" s="2">
        <v>193.333333333333</v>
      </c>
      <c r="O291" s="2">
        <v>2242</v>
      </c>
      <c r="P291" s="301">
        <v>1.553955238880764E-2</v>
      </c>
      <c r="Q291" s="14">
        <v>187.272727272727</v>
      </c>
      <c r="R291" s="2">
        <v>2113</v>
      </c>
      <c r="S291" s="301">
        <v>1.4334656219259861E-2</v>
      </c>
      <c r="T291" s="14">
        <v>261.21212800000001</v>
      </c>
      <c r="U291" s="301">
        <v>-0.21038863976083708</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1810</v>
      </c>
      <c r="B292" s="2">
        <v>552</v>
      </c>
      <c r="C292" s="301">
        <v>9.4651828735060617E-3</v>
      </c>
      <c r="D292" s="2">
        <v>108.484848484848</v>
      </c>
      <c r="E292" s="2">
        <v>393</v>
      </c>
      <c r="F292" s="301">
        <v>6.2837773016532891E-3</v>
      </c>
      <c r="G292" s="14">
        <v>95.151515151515099</v>
      </c>
      <c r="H292" s="2">
        <v>152</v>
      </c>
      <c r="I292" s="301">
        <v>2.3557491127194955E-3</v>
      </c>
      <c r="J292" s="14">
        <v>47.878788</v>
      </c>
      <c r="K292" s="301">
        <v>-0.72463768115942029</v>
      </c>
      <c r="L292" s="2">
        <v>1064</v>
      </c>
      <c r="M292" s="301">
        <v>7.7017176857206967E-3</v>
      </c>
      <c r="N292" s="2">
        <v>122.424242424242</v>
      </c>
      <c r="O292" s="2">
        <v>842</v>
      </c>
      <c r="P292" s="301">
        <v>5.8359960354041184E-3</v>
      </c>
      <c r="Q292" s="14">
        <v>118.181818181818</v>
      </c>
      <c r="R292" s="2">
        <v>689</v>
      </c>
      <c r="S292" s="301">
        <v>4.6741969404022927E-3</v>
      </c>
      <c r="T292" s="14">
        <v>94.545455899999993</v>
      </c>
      <c r="U292" s="301">
        <v>-0.35244360902255639</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1811</v>
      </c>
      <c r="B293" s="2">
        <v>675</v>
      </c>
      <c r="C293" s="301">
        <v>1.1574272535537304E-2</v>
      </c>
      <c r="D293" s="2">
        <v>106.06060606060601</v>
      </c>
      <c r="E293" s="2">
        <v>624</v>
      </c>
      <c r="F293" s="301">
        <v>9.9772952575869021E-3</v>
      </c>
      <c r="G293" s="14">
        <v>141.81818181818099</v>
      </c>
      <c r="H293" s="2">
        <v>617</v>
      </c>
      <c r="I293" s="301">
        <v>9.5624815957100571E-3</v>
      </c>
      <c r="J293" s="14">
        <v>134.545456</v>
      </c>
      <c r="K293" s="301">
        <v>-8.5925925925925919E-2</v>
      </c>
      <c r="L293" s="2">
        <v>1646</v>
      </c>
      <c r="M293" s="301">
        <v>1.1914499352158147E-2</v>
      </c>
      <c r="N293" s="2">
        <v>129.69696969696901</v>
      </c>
      <c r="O293" s="2">
        <v>1431</v>
      </c>
      <c r="P293" s="301">
        <v>9.918420815514601E-3</v>
      </c>
      <c r="Q293" s="14">
        <v>168.48484848484799</v>
      </c>
      <c r="R293" s="2">
        <v>1888</v>
      </c>
      <c r="S293" s="301">
        <v>1.2808249380957227E-2</v>
      </c>
      <c r="T293" s="14">
        <v>124.242424</v>
      </c>
      <c r="U293" s="301">
        <v>0.14702308626974483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1812</v>
      </c>
      <c r="B294" s="2">
        <v>2164</v>
      </c>
      <c r="C294" s="301">
        <v>3.7106260395411442E-2</v>
      </c>
      <c r="D294" s="2">
        <v>212.72727272727201</v>
      </c>
      <c r="E294" s="2">
        <v>2441</v>
      </c>
      <c r="F294" s="301">
        <v>3.9029771993220559E-2</v>
      </c>
      <c r="G294" s="14">
        <v>238.78787878787799</v>
      </c>
      <c r="H294" s="2">
        <v>2650</v>
      </c>
      <c r="I294" s="301">
        <v>4.107062597833331E-2</v>
      </c>
      <c r="J294" s="14">
        <v>299.39395100000002</v>
      </c>
      <c r="K294" s="301">
        <v>0.2245841035120148</v>
      </c>
      <c r="L294" s="2">
        <v>4837</v>
      </c>
      <c r="M294" s="301">
        <v>3.5012413952848695E-2</v>
      </c>
      <c r="N294" s="2">
        <v>215.15151515151501</v>
      </c>
      <c r="O294" s="2">
        <v>5074</v>
      </c>
      <c r="P294" s="301">
        <v>3.5168460669406765E-2</v>
      </c>
      <c r="Q294" s="14">
        <v>221.21212121212099</v>
      </c>
      <c r="R294" s="2">
        <v>5683</v>
      </c>
      <c r="S294" s="301">
        <v>3.8553644720328344E-2</v>
      </c>
      <c r="T294" s="14">
        <v>299.39395100000002</v>
      </c>
      <c r="U294" s="301">
        <v>0.17490179863551789</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1813</v>
      </c>
      <c r="B295" s="2">
        <v>2800</v>
      </c>
      <c r="C295" s="301">
        <v>4.801179718445104E-2</v>
      </c>
      <c r="D295" s="2">
        <v>228.48484848484799</v>
      </c>
      <c r="E295" s="2">
        <v>3159</v>
      </c>
      <c r="F295" s="301">
        <v>5.0510057241533686E-2</v>
      </c>
      <c r="G295" s="14">
        <v>238.78787878787799</v>
      </c>
      <c r="H295" s="2">
        <v>3225</v>
      </c>
      <c r="I295" s="301">
        <v>4.9982176898160348E-2</v>
      </c>
      <c r="J295" s="14">
        <v>278.18182400000001</v>
      </c>
      <c r="K295" s="301">
        <v>0.15178571428571427</v>
      </c>
      <c r="L295" s="2">
        <v>5919</v>
      </c>
      <c r="M295" s="301">
        <v>4.284442385505715E-2</v>
      </c>
      <c r="N295" s="2">
        <v>305.45454545454498</v>
      </c>
      <c r="O295" s="2">
        <v>6569</v>
      </c>
      <c r="P295" s="301">
        <v>4.553047263250553E-2</v>
      </c>
      <c r="Q295" s="14">
        <v>264.24242424242402</v>
      </c>
      <c r="R295" s="2">
        <v>7063</v>
      </c>
      <c r="S295" s="301">
        <v>4.7915606661917846E-2</v>
      </c>
      <c r="T295" s="14">
        <v>327.878784</v>
      </c>
      <c r="U295" s="301">
        <v>0.19327589119783747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1814</v>
      </c>
      <c r="B296" s="2">
        <v>2763</v>
      </c>
      <c r="C296" s="301">
        <v>4.7377355578799366E-2</v>
      </c>
      <c r="D296" s="2">
        <v>183.636363636363</v>
      </c>
      <c r="E296" s="2">
        <v>3025</v>
      </c>
      <c r="F296" s="301">
        <v>4.8367497041987784E-2</v>
      </c>
      <c r="G296" s="14">
        <v>212.12121212121201</v>
      </c>
      <c r="H296" s="2">
        <v>3341</v>
      </c>
      <c r="I296" s="301">
        <v>5.1779985431551538E-2</v>
      </c>
      <c r="J296" s="14">
        <v>307.27273600000001</v>
      </c>
      <c r="K296" s="301">
        <v>0.20919290626131018</v>
      </c>
      <c r="L296" s="2">
        <v>6886</v>
      </c>
      <c r="M296" s="301">
        <v>4.9844011263038272E-2</v>
      </c>
      <c r="N296" s="2">
        <v>238.18181818181799</v>
      </c>
      <c r="O296" s="2">
        <v>6685</v>
      </c>
      <c r="P296" s="301">
        <v>4.6334481587501822E-2</v>
      </c>
      <c r="Q296" s="14">
        <v>220.60606060606</v>
      </c>
      <c r="R296" s="2">
        <v>7591</v>
      </c>
      <c r="S296" s="301">
        <v>5.14975747091347E-2</v>
      </c>
      <c r="T296" s="14">
        <v>297.57574499999998</v>
      </c>
      <c r="U296" s="301">
        <v>0.10238164391519024</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1815</v>
      </c>
      <c r="B297" s="2">
        <v>2431</v>
      </c>
      <c r="C297" s="301">
        <v>4.1684528198357308E-2</v>
      </c>
      <c r="D297" s="2">
        <v>175.15151515151501</v>
      </c>
      <c r="E297" s="2">
        <v>2889</v>
      </c>
      <c r="F297" s="301">
        <v>4.6192958332000898E-2</v>
      </c>
      <c r="G297" s="14">
        <v>190.30303030303</v>
      </c>
      <c r="H297" s="2">
        <v>2756</v>
      </c>
      <c r="I297" s="301">
        <v>4.2713451017466639E-2</v>
      </c>
      <c r="J297" s="14">
        <v>176.363632</v>
      </c>
      <c r="K297" s="301">
        <v>0.13368983957219252</v>
      </c>
      <c r="L297" s="2">
        <v>8002</v>
      </c>
      <c r="M297" s="301">
        <v>5.7922128685279149E-2</v>
      </c>
      <c r="N297" s="2">
        <v>258.18181818181802</v>
      </c>
      <c r="O297" s="2">
        <v>6948</v>
      </c>
      <c r="P297" s="301">
        <v>4.815736395960548E-2</v>
      </c>
      <c r="Q297" s="14">
        <v>180.60606060606</v>
      </c>
      <c r="R297" s="2">
        <v>7294</v>
      </c>
      <c r="S297" s="301">
        <v>4.9482717682575221E-2</v>
      </c>
      <c r="T297" s="14">
        <v>218.18182400000001</v>
      </c>
      <c r="U297" s="301">
        <v>-8.8477880529867534E-2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1816</v>
      </c>
      <c r="B298" s="2">
        <v>1682</v>
      </c>
      <c r="C298" s="301">
        <v>2.8841372451516658E-2</v>
      </c>
      <c r="D298" s="2">
        <v>139.39393939393901</v>
      </c>
      <c r="E298" s="2">
        <v>1930</v>
      </c>
      <c r="F298" s="301">
        <v>3.0859262575549232E-2</v>
      </c>
      <c r="G298" s="14">
        <v>162.42424242424201</v>
      </c>
      <c r="H298" s="2">
        <v>2328</v>
      </c>
      <c r="I298" s="301">
        <v>3.6080157463230164E-2</v>
      </c>
      <c r="J298" s="14">
        <v>178.78787199999999</v>
      </c>
      <c r="K298" s="301">
        <v>0.38406658739595717</v>
      </c>
      <c r="L298" s="2">
        <v>6448</v>
      </c>
      <c r="M298" s="301">
        <v>4.667356732850287E-2</v>
      </c>
      <c r="N298" s="2">
        <v>156.969696969696</v>
      </c>
      <c r="O298" s="2">
        <v>6890</v>
      </c>
      <c r="P298" s="301">
        <v>4.7755359482107337E-2</v>
      </c>
      <c r="Q298" s="14">
        <v>173.939393939393</v>
      </c>
      <c r="R298" s="2">
        <v>7288</v>
      </c>
      <c r="S298" s="301">
        <v>4.9442013500220483E-2</v>
      </c>
      <c r="T298" s="14">
        <v>151.515152</v>
      </c>
      <c r="U298" s="301">
        <v>0.13027295285359802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1817</v>
      </c>
      <c r="B299" s="2">
        <v>1163</v>
      </c>
      <c r="C299" s="301">
        <v>1.99420429019702E-2</v>
      </c>
      <c r="D299" s="2">
        <v>119.39393939393899</v>
      </c>
      <c r="E299" s="2">
        <v>1373</v>
      </c>
      <c r="F299" s="301">
        <v>2.1953247417735283E-2</v>
      </c>
      <c r="G299" s="14">
        <v>120.60606060606</v>
      </c>
      <c r="H299" s="2">
        <v>1335</v>
      </c>
      <c r="I299" s="301">
        <v>2.0690296483424516E-2</v>
      </c>
      <c r="J299" s="14">
        <v>151.515152</v>
      </c>
      <c r="K299" s="301">
        <v>0.14789337919174547</v>
      </c>
      <c r="L299" s="2">
        <v>4162</v>
      </c>
      <c r="M299" s="301">
        <v>3.0126455834557839E-2</v>
      </c>
      <c r="N299" s="2">
        <v>121.212121212121</v>
      </c>
      <c r="O299" s="2">
        <v>4961</v>
      </c>
      <c r="P299" s="301">
        <v>3.4385245049453485E-2</v>
      </c>
      <c r="Q299" s="14">
        <v>131.51515151515099</v>
      </c>
      <c r="R299" s="2">
        <v>5829</v>
      </c>
      <c r="S299" s="301">
        <v>3.9544113157626945E-2</v>
      </c>
      <c r="T299" s="14">
        <v>180</v>
      </c>
      <c r="U299" s="301">
        <v>0.40052859202306584</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1818</v>
      </c>
      <c r="B300" s="2">
        <v>1136</v>
      </c>
      <c r="C300" s="301">
        <v>1.9479072000548707E-2</v>
      </c>
      <c r="D300" s="2">
        <v>112.72727272727199</v>
      </c>
      <c r="E300" s="2">
        <v>1151</v>
      </c>
      <c r="F300" s="301">
        <v>1.8403632758786096E-2</v>
      </c>
      <c r="G300" s="14">
        <v>135.75757575757501</v>
      </c>
      <c r="H300" s="2">
        <v>1112</v>
      </c>
      <c r="I300" s="301">
        <v>1.7234164561474204E-2</v>
      </c>
      <c r="J300" s="14">
        <v>134.545456</v>
      </c>
      <c r="K300" s="301">
        <v>-2.1126760563380281E-2</v>
      </c>
      <c r="L300" s="2">
        <v>3404</v>
      </c>
      <c r="M300" s="301">
        <v>2.4639705829128996E-2</v>
      </c>
      <c r="N300" s="2">
        <v>102.424242424242</v>
      </c>
      <c r="O300" s="2">
        <v>3473</v>
      </c>
      <c r="P300" s="301">
        <v>2.4071750868121737E-2</v>
      </c>
      <c r="Q300" s="14">
        <v>140.60606060606</v>
      </c>
      <c r="R300" s="2">
        <v>3959</v>
      </c>
      <c r="S300" s="301">
        <v>2.6857976323733931E-2</v>
      </c>
      <c r="T300" s="14">
        <v>134.545456</v>
      </c>
      <c r="U300" s="301">
        <v>0.16304347826086957</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1821</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1706</v>
      </c>
      <c r="C303" s="304"/>
      <c r="D303" s="304" t="s">
        <v>1707</v>
      </c>
      <c r="E303" s="304" t="s">
        <v>1706</v>
      </c>
      <c r="F303" s="304"/>
      <c r="G303" s="304" t="s">
        <v>1707</v>
      </c>
      <c r="H303" s="304" t="s">
        <v>1706</v>
      </c>
      <c r="I303" s="304"/>
      <c r="J303" s="304" t="s">
        <v>1707</v>
      </c>
      <c r="K303" t="s">
        <v>172</v>
      </c>
      <c r="L303" s="304" t="s">
        <v>1706</v>
      </c>
      <c r="M303" s="304"/>
      <c r="N303" s="304" t="s">
        <v>1707</v>
      </c>
      <c r="O303" s="304" t="s">
        <v>1706</v>
      </c>
      <c r="P303" s="304"/>
      <c r="Q303" s="304" t="s">
        <v>1707</v>
      </c>
      <c r="R303" s="304" t="s">
        <v>1706</v>
      </c>
      <c r="S303" s="304"/>
      <c r="T303" s="304" t="s">
        <v>1707</v>
      </c>
      <c r="U303" t="s">
        <v>172</v>
      </c>
      <c r="V303" s="207" t="s">
        <v>1706</v>
      </c>
      <c r="W303" s="207"/>
      <c r="X303" s="207" t="s">
        <v>1707</v>
      </c>
      <c r="Y303" s="207" t="s">
        <v>1706</v>
      </c>
      <c r="Z303" s="207"/>
      <c r="AA303" s="207" t="s">
        <v>1707</v>
      </c>
      <c r="AB303" s="207" t="s">
        <v>1706</v>
      </c>
      <c r="AC303" s="207"/>
      <c r="AD303" s="207" t="s">
        <v>1707</v>
      </c>
      <c r="AE303" t="s">
        <v>172</v>
      </c>
    </row>
    <row r="304" spans="1:31" x14ac:dyDescent="0.3">
      <c r="A304" t="s">
        <v>174</v>
      </c>
      <c r="B304" s="2">
        <v>12490</v>
      </c>
      <c r="C304" t="s">
        <v>172</v>
      </c>
      <c r="D304" s="2">
        <v>264.84848484848402</v>
      </c>
      <c r="E304" s="2">
        <v>13361</v>
      </c>
      <c r="F304" t="s">
        <v>172</v>
      </c>
      <c r="G304" s="14">
        <v>282.42424242424198</v>
      </c>
      <c r="H304" s="2">
        <v>14271</v>
      </c>
      <c r="I304" t="s">
        <v>172</v>
      </c>
      <c r="J304" s="14">
        <v>302.42425500000002</v>
      </c>
      <c r="K304" s="301">
        <v>0.14259407526020818</v>
      </c>
      <c r="L304" s="2">
        <v>32768</v>
      </c>
      <c r="M304" t="s">
        <v>172</v>
      </c>
      <c r="N304" s="2">
        <v>467.27272727272702</v>
      </c>
      <c r="O304" s="2">
        <v>33201</v>
      </c>
      <c r="P304" t="s">
        <v>172</v>
      </c>
      <c r="Q304" s="14">
        <v>509.09090909090901</v>
      </c>
      <c r="R304" s="2">
        <v>34966</v>
      </c>
      <c r="S304" t="s">
        <v>172</v>
      </c>
      <c r="T304" s="14">
        <v>380.60604899999998</v>
      </c>
      <c r="U304" s="301">
        <v>6.707763671875E-2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1804</v>
      </c>
      <c r="B305" s="2">
        <v>2665</v>
      </c>
      <c r="C305" s="301">
        <v>0.2133706965572458</v>
      </c>
      <c r="D305" s="2">
        <v>182.42424242424201</v>
      </c>
      <c r="E305" s="2">
        <v>3397</v>
      </c>
      <c r="F305" s="301">
        <v>0.25424743656911908</v>
      </c>
      <c r="G305" s="14">
        <v>260</v>
      </c>
      <c r="H305" s="2">
        <v>3047</v>
      </c>
      <c r="I305" s="301">
        <v>0.21350991521266904</v>
      </c>
      <c r="J305" s="14">
        <v>293.33334400000001</v>
      </c>
      <c r="K305" s="301">
        <v>0.14333958724202628</v>
      </c>
      <c r="L305" s="2">
        <v>4785</v>
      </c>
      <c r="M305" s="301">
        <v>0.146026611328125</v>
      </c>
      <c r="N305" s="2">
        <v>290.30303030303003</v>
      </c>
      <c r="O305" s="2">
        <v>6394</v>
      </c>
      <c r="P305" s="301">
        <v>0.19258456070600283</v>
      </c>
      <c r="Q305" s="14">
        <v>360</v>
      </c>
      <c r="R305" s="2">
        <v>4975</v>
      </c>
      <c r="S305" s="301">
        <v>0.14228107304238402</v>
      </c>
      <c r="T305" s="14">
        <v>381.21212800000001</v>
      </c>
      <c r="U305" s="301">
        <v>3.9707419017763847E-2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1768</v>
      </c>
      <c r="B306" s="2">
        <v>1325</v>
      </c>
      <c r="C306" s="301">
        <v>0.10608486789431545</v>
      </c>
      <c r="D306" s="2">
        <v>133.939393939393</v>
      </c>
      <c r="E306" s="2">
        <v>1277</v>
      </c>
      <c r="F306" s="301">
        <v>9.5576678392335898E-2</v>
      </c>
      <c r="G306" s="14">
        <v>150.30303030303</v>
      </c>
      <c r="H306" s="2">
        <v>1525</v>
      </c>
      <c r="I306" s="301">
        <v>0.10686006586784388</v>
      </c>
      <c r="J306" s="14">
        <v>187.878784</v>
      </c>
      <c r="K306" s="301">
        <v>0.15094339622641509</v>
      </c>
      <c r="L306" s="2">
        <v>2369</v>
      </c>
      <c r="M306" s="301">
        <v>7.2296142578125E-2</v>
      </c>
      <c r="N306" s="2">
        <v>193.939393939393</v>
      </c>
      <c r="O306" s="2">
        <v>2882</v>
      </c>
      <c r="P306" s="301">
        <v>8.6804614318845813E-2</v>
      </c>
      <c r="Q306" s="14">
        <v>224.84848484848399</v>
      </c>
      <c r="R306" s="2">
        <v>2466</v>
      </c>
      <c r="S306" s="301">
        <v>7.0525653491963616E-2</v>
      </c>
      <c r="T306" s="14">
        <v>256.96969999999999</v>
      </c>
      <c r="U306" s="301">
        <v>4.0945546644153653E-2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1822</v>
      </c>
      <c r="B307" s="2">
        <v>1091</v>
      </c>
      <c r="C307" s="301">
        <v>8.7349879903923136E-2</v>
      </c>
      <c r="D307" s="2">
        <v>125.454545454545</v>
      </c>
      <c r="E307" s="2">
        <v>1034</v>
      </c>
      <c r="F307" s="301">
        <v>7.7389416959808402E-2</v>
      </c>
      <c r="G307" s="14">
        <v>138.18181818181799</v>
      </c>
      <c r="H307" s="2">
        <v>1206</v>
      </c>
      <c r="I307" s="301">
        <v>8.4507042253521125E-2</v>
      </c>
      <c r="J307" s="14">
        <v>178.78787199999999</v>
      </c>
      <c r="K307" s="301">
        <v>0.10540788267644363</v>
      </c>
      <c r="L307" s="2">
        <v>1815</v>
      </c>
      <c r="M307" s="301">
        <v>5.5389404296875E-2</v>
      </c>
      <c r="N307" s="2">
        <v>177.575757575757</v>
      </c>
      <c r="O307" s="2">
        <v>2036</v>
      </c>
      <c r="P307" s="301">
        <v>6.1323454112827927E-2</v>
      </c>
      <c r="Q307" s="14">
        <v>194.54545454545399</v>
      </c>
      <c r="R307" s="2">
        <v>1888</v>
      </c>
      <c r="S307" s="301">
        <v>5.399530972945147E-2</v>
      </c>
      <c r="T307" s="14">
        <v>243.636368</v>
      </c>
      <c r="U307" s="301">
        <v>4.0220385674931129E-2</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1823</v>
      </c>
      <c r="B308" s="2">
        <v>119</v>
      </c>
      <c r="C308" s="301">
        <v>9.5276220976781428E-3</v>
      </c>
      <c r="D308" s="2">
        <v>42.424242424242401</v>
      </c>
      <c r="E308" s="2">
        <v>109</v>
      </c>
      <c r="F308" s="301">
        <v>8.1580720005987577E-3</v>
      </c>
      <c r="G308" s="14">
        <v>41.212121212121197</v>
      </c>
      <c r="H308" s="2">
        <v>7</v>
      </c>
      <c r="I308" s="301">
        <v>4.9050522037698827E-4</v>
      </c>
      <c r="J308" s="14">
        <v>10.30303</v>
      </c>
      <c r="K308" s="301">
        <v>-0.94117647058823528</v>
      </c>
      <c r="L308" s="2">
        <v>155</v>
      </c>
      <c r="M308" s="301">
        <v>4.730224609375E-3</v>
      </c>
      <c r="N308" s="2">
        <v>49.696969696969703</v>
      </c>
      <c r="O308" s="2">
        <v>238</v>
      </c>
      <c r="P308" s="301">
        <v>7.1684587813620072E-3</v>
      </c>
      <c r="Q308" s="14">
        <v>63.636363636363598</v>
      </c>
      <c r="R308" s="2">
        <v>129</v>
      </c>
      <c r="S308" s="301">
        <v>3.6892981753703599E-3</v>
      </c>
      <c r="T308" s="14">
        <v>64.242424</v>
      </c>
      <c r="U308" s="301">
        <v>-0.16774193548387098</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1824</v>
      </c>
      <c r="B309" s="2">
        <v>519</v>
      </c>
      <c r="C309" s="301">
        <v>4.1553242594075258E-2</v>
      </c>
      <c r="D309" s="2">
        <v>89.696969696969703</v>
      </c>
      <c r="E309" s="2">
        <v>410</v>
      </c>
      <c r="F309" s="301">
        <v>3.0686325873811839E-2</v>
      </c>
      <c r="G309" s="14">
        <v>80.606060606060595</v>
      </c>
      <c r="H309" s="2">
        <v>700</v>
      </c>
      <c r="I309" s="301">
        <v>4.9050522037698829E-2</v>
      </c>
      <c r="J309" s="14">
        <v>136.96969999999999</v>
      </c>
      <c r="K309" s="301">
        <v>0.34874759152215801</v>
      </c>
      <c r="L309" s="2">
        <v>785</v>
      </c>
      <c r="M309" s="301">
        <v>2.3956298828125E-2</v>
      </c>
      <c r="N309" s="2">
        <v>115.757575757575</v>
      </c>
      <c r="O309" s="2">
        <v>855</v>
      </c>
      <c r="P309" s="301">
        <v>2.5752236378422336E-2</v>
      </c>
      <c r="Q309" s="14">
        <v>132.12121212121201</v>
      </c>
      <c r="R309" s="2">
        <v>1001</v>
      </c>
      <c r="S309" s="301">
        <v>2.8627809872447521E-2</v>
      </c>
      <c r="T309" s="14">
        <v>167.27271999999999</v>
      </c>
      <c r="U309" s="301">
        <v>0.2751592356687898</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1825</v>
      </c>
      <c r="B310" s="2">
        <v>453</v>
      </c>
      <c r="C310" s="301">
        <v>3.6269015212169735E-2</v>
      </c>
      <c r="D310" s="2">
        <v>92.727272727272705</v>
      </c>
      <c r="E310" s="2">
        <v>515</v>
      </c>
      <c r="F310" s="301">
        <v>3.85450190853978E-2</v>
      </c>
      <c r="G310" s="14">
        <v>105.454545454545</v>
      </c>
      <c r="H310" s="2">
        <v>499</v>
      </c>
      <c r="I310" s="301">
        <v>3.4966014995445306E-2</v>
      </c>
      <c r="J310" s="14">
        <v>113.939392</v>
      </c>
      <c r="K310" s="301">
        <v>0.10154525386313466</v>
      </c>
      <c r="L310" s="2">
        <v>875</v>
      </c>
      <c r="M310" s="301">
        <v>2.6702880859375E-2</v>
      </c>
      <c r="N310" s="2">
        <v>150.90909090909</v>
      </c>
      <c r="O310" s="2">
        <v>943</v>
      </c>
      <c r="P310" s="301">
        <v>2.8402758953043582E-2</v>
      </c>
      <c r="Q310" s="14">
        <v>140.60606060606</v>
      </c>
      <c r="R310" s="2">
        <v>758</v>
      </c>
      <c r="S310" s="301">
        <v>2.1678201681633587E-2</v>
      </c>
      <c r="T310" s="14">
        <v>130.909088</v>
      </c>
      <c r="U310" s="301">
        <v>-0.1337142857142857</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1826</v>
      </c>
      <c r="B311" s="2">
        <v>234</v>
      </c>
      <c r="C311" s="301">
        <v>1.8734987990392315E-2</v>
      </c>
      <c r="D311" s="2">
        <v>61.818181818181799</v>
      </c>
      <c r="E311" s="2">
        <v>243</v>
      </c>
      <c r="F311" s="301">
        <v>1.8187261432527507E-2</v>
      </c>
      <c r="G311" s="14">
        <v>70.303030303030297</v>
      </c>
      <c r="H311" s="2">
        <v>319</v>
      </c>
      <c r="I311" s="301">
        <v>2.2353023614322752E-2</v>
      </c>
      <c r="J311" s="14">
        <v>87.878784199999998</v>
      </c>
      <c r="K311" s="301">
        <v>0.36324786324786323</v>
      </c>
      <c r="L311" s="2">
        <v>554</v>
      </c>
      <c r="M311" s="301">
        <v>1.690673828125E-2</v>
      </c>
      <c r="N311" s="2">
        <v>91.515151515151501</v>
      </c>
      <c r="O311" s="2">
        <v>846</v>
      </c>
      <c r="P311" s="301">
        <v>2.5481160206017889E-2</v>
      </c>
      <c r="Q311" s="14">
        <v>133.939393939393</v>
      </c>
      <c r="R311" s="2">
        <v>578</v>
      </c>
      <c r="S311" s="301">
        <v>1.6530343762512154E-2</v>
      </c>
      <c r="T311" s="14">
        <v>101.818184</v>
      </c>
      <c r="U311" s="301">
        <v>4.3321299638989168E-2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1769</v>
      </c>
      <c r="B312" s="2">
        <v>1340</v>
      </c>
      <c r="C312" s="301">
        <v>0.10728582866293035</v>
      </c>
      <c r="D312" s="2">
        <v>137.575757575757</v>
      </c>
      <c r="E312" s="2">
        <v>2120</v>
      </c>
      <c r="F312" s="301">
        <v>0.15867075817678317</v>
      </c>
      <c r="G312" s="14">
        <v>205.45454545454501</v>
      </c>
      <c r="H312" s="2">
        <v>1522</v>
      </c>
      <c r="I312" s="301">
        <v>0.10664984934482517</v>
      </c>
      <c r="J312" s="14">
        <v>231.515152</v>
      </c>
      <c r="K312" s="301">
        <v>0.13582089552238805</v>
      </c>
      <c r="L312" s="2">
        <v>2416</v>
      </c>
      <c r="M312" s="301">
        <v>7.373046875E-2</v>
      </c>
      <c r="N312" s="2">
        <v>223.636363636363</v>
      </c>
      <c r="O312" s="2">
        <v>3512</v>
      </c>
      <c r="P312" s="301">
        <v>0.10577994638715701</v>
      </c>
      <c r="Q312" s="14">
        <v>284.84848484848402</v>
      </c>
      <c r="R312" s="2">
        <v>2509</v>
      </c>
      <c r="S312" s="301">
        <v>7.1755419550420405E-2</v>
      </c>
      <c r="T312" s="14">
        <v>292.72726399999999</v>
      </c>
      <c r="U312" s="301">
        <v>3.8493377483443711E-2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1770</v>
      </c>
      <c r="B313" s="2">
        <v>94</v>
      </c>
      <c r="C313" s="301">
        <v>7.5260208166533227E-3</v>
      </c>
      <c r="D313" s="2">
        <v>49.090909090909101</v>
      </c>
      <c r="E313" s="2">
        <v>377</v>
      </c>
      <c r="F313" s="301">
        <v>2.8216450864456254E-2</v>
      </c>
      <c r="G313" s="14">
        <v>96.363636363636402</v>
      </c>
      <c r="H313" s="2">
        <v>350</v>
      </c>
      <c r="I313" s="301">
        <v>2.4525261018849415E-2</v>
      </c>
      <c r="J313" s="14">
        <v>93.333335899999994</v>
      </c>
      <c r="K313" s="301">
        <v>2.7234042553191489</v>
      </c>
      <c r="L313" s="2">
        <v>362</v>
      </c>
      <c r="M313" s="301">
        <v>1.104736328125E-2</v>
      </c>
      <c r="N313" s="2">
        <v>97.575757575757606</v>
      </c>
      <c r="O313" s="2">
        <v>764</v>
      </c>
      <c r="P313" s="301">
        <v>2.3011355079666274E-2</v>
      </c>
      <c r="Q313" s="14">
        <v>128.48484848484799</v>
      </c>
      <c r="R313" s="2">
        <v>578</v>
      </c>
      <c r="S313" s="301">
        <v>1.6530343762512154E-2</v>
      </c>
      <c r="T313" s="14">
        <v>126.666664</v>
      </c>
      <c r="U313" s="301">
        <v>0.59668508287292821</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1827</v>
      </c>
      <c r="B314" s="2">
        <v>77</v>
      </c>
      <c r="C314" s="301">
        <v>6.164931945556445E-3</v>
      </c>
      <c r="D314" s="2">
        <v>46.6666666666666</v>
      </c>
      <c r="E314" s="2">
        <v>338</v>
      </c>
      <c r="F314" s="301">
        <v>2.5297507671581468E-2</v>
      </c>
      <c r="G314" s="14">
        <v>92.121212121212096</v>
      </c>
      <c r="H314" s="2">
        <v>328</v>
      </c>
      <c r="I314" s="301">
        <v>2.2983673183378881E-2</v>
      </c>
      <c r="J314" s="14">
        <v>96.363640000000004</v>
      </c>
      <c r="K314" s="301">
        <v>3.2597402597402598</v>
      </c>
      <c r="L314" s="2">
        <v>311</v>
      </c>
      <c r="M314" s="301">
        <v>9.490966796875E-3</v>
      </c>
      <c r="N314" s="2">
        <v>87.878787878787904</v>
      </c>
      <c r="O314" s="2">
        <v>627</v>
      </c>
      <c r="P314" s="301">
        <v>1.8884973344176381E-2</v>
      </c>
      <c r="Q314" s="14">
        <v>126.666666666666</v>
      </c>
      <c r="R314" s="2">
        <v>477</v>
      </c>
      <c r="S314" s="301">
        <v>1.3641823485671795E-2</v>
      </c>
      <c r="T314" s="14">
        <v>121.21212</v>
      </c>
      <c r="U314" s="301">
        <v>0.5337620578778135</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1828</v>
      </c>
      <c r="B315" s="2">
        <v>12</v>
      </c>
      <c r="C315" s="301">
        <v>9.6076861489191351E-4</v>
      </c>
      <c r="D315" s="2">
        <v>11.5151515151515</v>
      </c>
      <c r="E315" s="2">
        <v>55</v>
      </c>
      <c r="F315" s="301">
        <v>4.1164583489259783E-3</v>
      </c>
      <c r="G315" s="14">
        <v>22.424242424242401</v>
      </c>
      <c r="H315" s="2">
        <v>41</v>
      </c>
      <c r="I315" s="301">
        <v>2.8729591479223601E-3</v>
      </c>
      <c r="J315" s="14">
        <v>29.090910000000001</v>
      </c>
      <c r="K315" s="301">
        <v>2.4166666666666665</v>
      </c>
      <c r="L315" s="2">
        <v>12</v>
      </c>
      <c r="M315" s="301">
        <v>3.662109375E-4</v>
      </c>
      <c r="N315" s="2">
        <v>11.5151515151515</v>
      </c>
      <c r="O315" s="2">
        <v>147</v>
      </c>
      <c r="P315" s="301">
        <v>4.4275774826059459E-3</v>
      </c>
      <c r="Q315" s="14">
        <v>60.606060606060602</v>
      </c>
      <c r="R315" s="2">
        <v>64</v>
      </c>
      <c r="S315" s="301">
        <v>1.8303494823542869E-3</v>
      </c>
      <c r="T315" s="14">
        <v>35.757576</v>
      </c>
      <c r="U315" s="301">
        <v>4.333333333333333</v>
      </c>
      <c r="V315" s="2">
        <v>16458</v>
      </c>
      <c r="W315" s="27">
        <v>2E-3</v>
      </c>
      <c r="X315" s="2">
        <v>627</v>
      </c>
      <c r="Y315" s="2">
        <v>20164</v>
      </c>
      <c r="Z315" s="27">
        <v>2E-3</v>
      </c>
      <c r="AA315" s="14">
        <v>672.12</v>
      </c>
      <c r="AB315" s="2">
        <v>10284</v>
      </c>
      <c r="AC315" s="27">
        <v>1E-3</v>
      </c>
      <c r="AD315" s="14">
        <v>459.39</v>
      </c>
      <c r="AE315" s="27">
        <v>-0.375</v>
      </c>
    </row>
    <row r="316" spans="1:31" x14ac:dyDescent="0.3">
      <c r="A316" t="s">
        <v>1829</v>
      </c>
      <c r="B316" s="2">
        <v>0</v>
      </c>
      <c r="C316" s="301">
        <v>0</v>
      </c>
      <c r="D316" s="2">
        <v>80</v>
      </c>
      <c r="E316" s="2">
        <v>113</v>
      </c>
      <c r="F316" s="301">
        <v>8.4574507896115567E-3</v>
      </c>
      <c r="G316" s="14">
        <v>53.939393939393902</v>
      </c>
      <c r="H316" s="2">
        <v>111</v>
      </c>
      <c r="I316" s="301">
        <v>7.7780113516922426E-3</v>
      </c>
      <c r="J316" s="14">
        <v>58.787880000000001</v>
      </c>
      <c r="L316" s="2">
        <v>41</v>
      </c>
      <c r="M316" s="301">
        <v>1.251220703125E-3</v>
      </c>
      <c r="N316" s="2">
        <v>24.848484848484802</v>
      </c>
      <c r="O316" s="2">
        <v>115</v>
      </c>
      <c r="P316" s="301">
        <v>3.4637510918345835E-3</v>
      </c>
      <c r="Q316" s="14">
        <v>53.939393939393902</v>
      </c>
      <c r="R316" s="2">
        <v>122</v>
      </c>
      <c r="S316" s="301">
        <v>3.4891037007378596E-3</v>
      </c>
      <c r="T316" s="14">
        <v>60</v>
      </c>
      <c r="U316" s="301">
        <v>1.975609756097561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1830</v>
      </c>
      <c r="B317" s="2">
        <v>65</v>
      </c>
      <c r="C317" s="301">
        <v>5.2041633306645317E-3</v>
      </c>
      <c r="D317" s="2">
        <v>44.848484848484802</v>
      </c>
      <c r="E317" s="2">
        <v>170</v>
      </c>
      <c r="F317" s="301">
        <v>1.2723598533043935E-2</v>
      </c>
      <c r="G317" s="14">
        <v>64.848484848484802</v>
      </c>
      <c r="H317" s="2">
        <v>176</v>
      </c>
      <c r="I317" s="301">
        <v>1.2332702683764277E-2</v>
      </c>
      <c r="J317" s="14">
        <v>70.909090000000006</v>
      </c>
      <c r="K317" s="301">
        <v>1.7076923076923076</v>
      </c>
      <c r="L317" s="2">
        <v>258</v>
      </c>
      <c r="M317" s="301">
        <v>7.87353515625E-3</v>
      </c>
      <c r="N317" s="2">
        <v>83.636363636363598</v>
      </c>
      <c r="O317" s="2">
        <v>365</v>
      </c>
      <c r="P317" s="301">
        <v>1.0993644769735852E-2</v>
      </c>
      <c r="Q317" s="14">
        <v>90.909090909090907</v>
      </c>
      <c r="R317" s="2">
        <v>291</v>
      </c>
      <c r="S317" s="301">
        <v>8.3223703025796496E-3</v>
      </c>
      <c r="T317" s="14">
        <v>96.969695999999999</v>
      </c>
      <c r="U317" s="301">
        <v>0.12790697674418605</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1831</v>
      </c>
      <c r="B318" s="2">
        <v>17</v>
      </c>
      <c r="C318" s="301">
        <v>1.3610888710968775E-3</v>
      </c>
      <c r="D318" s="2">
        <v>15.757575757575699</v>
      </c>
      <c r="E318" s="2">
        <v>39</v>
      </c>
      <c r="F318" s="301">
        <v>2.918943192874785E-3</v>
      </c>
      <c r="G318" s="14">
        <v>27.878787878787801</v>
      </c>
      <c r="H318" s="2">
        <v>22</v>
      </c>
      <c r="I318" s="301">
        <v>1.5415878354705346E-3</v>
      </c>
      <c r="J318" s="14">
        <v>16.363636</v>
      </c>
      <c r="K318" s="301">
        <v>0.29411764705882354</v>
      </c>
      <c r="L318" s="2">
        <v>51</v>
      </c>
      <c r="M318" s="301">
        <v>1.556396484375E-3</v>
      </c>
      <c r="N318" s="2">
        <v>30.303030303030301</v>
      </c>
      <c r="O318" s="2">
        <v>137</v>
      </c>
      <c r="P318" s="301">
        <v>4.1263817354898948E-3</v>
      </c>
      <c r="Q318" s="14">
        <v>47.272727272727202</v>
      </c>
      <c r="R318" s="2">
        <v>101</v>
      </c>
      <c r="S318" s="301">
        <v>2.8885202768403591E-3</v>
      </c>
      <c r="T318" s="14">
        <v>38.787880000000001</v>
      </c>
      <c r="U318" s="301">
        <v>0.98039215686274506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1771</v>
      </c>
      <c r="B319" s="2">
        <v>1246</v>
      </c>
      <c r="C319" s="301">
        <v>9.9759807846277027E-2</v>
      </c>
      <c r="D319" s="2">
        <v>128.48484848484799</v>
      </c>
      <c r="E319" s="2">
        <v>1743</v>
      </c>
      <c r="F319" s="301">
        <v>0.13045430731232693</v>
      </c>
      <c r="G319" s="14">
        <v>173.333333333333</v>
      </c>
      <c r="H319" s="2">
        <v>1172</v>
      </c>
      <c r="I319" s="301">
        <v>8.2124588325975759E-2</v>
      </c>
      <c r="J319" s="14">
        <v>201.21212800000001</v>
      </c>
      <c r="K319" s="301">
        <v>-5.93900481540931E-2</v>
      </c>
      <c r="L319" s="2">
        <v>2054</v>
      </c>
      <c r="M319" s="301">
        <v>6.268310546875E-2</v>
      </c>
      <c r="N319" s="2">
        <v>192.12121212121201</v>
      </c>
      <c r="O319" s="2">
        <v>2748</v>
      </c>
      <c r="P319" s="301">
        <v>8.2768591307490744E-2</v>
      </c>
      <c r="Q319" s="14">
        <v>252.72727272727201</v>
      </c>
      <c r="R319" s="2">
        <v>1931</v>
      </c>
      <c r="S319" s="301">
        <v>5.5225075787908251E-2</v>
      </c>
      <c r="T319" s="14">
        <v>249.090912</v>
      </c>
      <c r="U319" s="301">
        <v>-5.9883154819863678E-2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1827</v>
      </c>
      <c r="B320" s="2">
        <v>1139</v>
      </c>
      <c r="C320" s="301">
        <v>9.1192954363490786E-2</v>
      </c>
      <c r="D320" s="2">
        <v>125.454545454545</v>
      </c>
      <c r="E320" s="2">
        <v>1643</v>
      </c>
      <c r="F320" s="301">
        <v>0.12296983758700696</v>
      </c>
      <c r="G320" s="14">
        <v>166.06060606060601</v>
      </c>
      <c r="H320" s="2">
        <v>1062</v>
      </c>
      <c r="I320" s="301">
        <v>7.4416649148623087E-2</v>
      </c>
      <c r="J320" s="14">
        <v>200.606064</v>
      </c>
      <c r="K320" s="301">
        <v>-6.7603160667251971E-2</v>
      </c>
      <c r="L320" s="2">
        <v>1896</v>
      </c>
      <c r="M320" s="301">
        <v>5.7861328125E-2</v>
      </c>
      <c r="N320" s="2">
        <v>186.666666666666</v>
      </c>
      <c r="O320" s="2">
        <v>2560</v>
      </c>
      <c r="P320" s="301">
        <v>7.7106111261708979E-2</v>
      </c>
      <c r="Q320" s="14">
        <v>237.575757575757</v>
      </c>
      <c r="R320" s="2">
        <v>1776</v>
      </c>
      <c r="S320" s="301">
        <v>5.0792198135331465E-2</v>
      </c>
      <c r="T320" s="14">
        <v>249.69697600000001</v>
      </c>
      <c r="U320" s="301">
        <v>-6.3291139240506333E-2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1828</v>
      </c>
      <c r="B321" s="2">
        <v>249</v>
      </c>
      <c r="C321" s="301">
        <v>1.9935948759007206E-2</v>
      </c>
      <c r="D321" s="2">
        <v>72.727272727272705</v>
      </c>
      <c r="E321" s="2">
        <v>219</v>
      </c>
      <c r="F321" s="301">
        <v>1.6390988698450716E-2</v>
      </c>
      <c r="G321" s="14">
        <v>66.060606060606005</v>
      </c>
      <c r="H321" s="2">
        <v>174</v>
      </c>
      <c r="I321" s="301">
        <v>1.2192558335085138E-2</v>
      </c>
      <c r="J321" s="14">
        <v>56.363636</v>
      </c>
      <c r="K321" s="301">
        <v>-0.30120481927710846</v>
      </c>
      <c r="L321" s="2">
        <v>429</v>
      </c>
      <c r="M321" s="301">
        <v>1.3092041015625E-2</v>
      </c>
      <c r="N321" s="2">
        <v>96.363636363636402</v>
      </c>
      <c r="O321" s="2">
        <v>427</v>
      </c>
      <c r="P321" s="301">
        <v>1.2861058401855367E-2</v>
      </c>
      <c r="Q321" s="14">
        <v>113.939393939393</v>
      </c>
      <c r="R321" s="2">
        <v>385</v>
      </c>
      <c r="S321" s="301">
        <v>1.1010696104787507E-2</v>
      </c>
      <c r="T321" s="14">
        <v>90.303030000000007</v>
      </c>
      <c r="U321" s="301">
        <v>-0.10256410256410256</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1829</v>
      </c>
      <c r="B322" s="2">
        <v>411</v>
      </c>
      <c r="C322" s="301">
        <v>3.2906325060048036E-2</v>
      </c>
      <c r="D322" s="2">
        <v>89.090909090909093</v>
      </c>
      <c r="E322" s="2">
        <v>702</v>
      </c>
      <c r="F322" s="301">
        <v>5.2540977471746124E-2</v>
      </c>
      <c r="G322" s="14">
        <v>121.212121212121</v>
      </c>
      <c r="H322" s="2">
        <v>366</v>
      </c>
      <c r="I322" s="301">
        <v>2.564641580828253E-2</v>
      </c>
      <c r="J322" s="14">
        <v>107.272728</v>
      </c>
      <c r="K322" s="301">
        <v>-0.10948905109489052</v>
      </c>
      <c r="L322" s="2">
        <v>663</v>
      </c>
      <c r="M322" s="301">
        <v>2.0233154296875E-2</v>
      </c>
      <c r="N322" s="2">
        <v>127.272727272727</v>
      </c>
      <c r="O322" s="2">
        <v>861</v>
      </c>
      <c r="P322" s="301">
        <v>2.5932953826691967E-2</v>
      </c>
      <c r="Q322" s="14">
        <v>126.06060606060601</v>
      </c>
      <c r="R322" s="2">
        <v>543</v>
      </c>
      <c r="S322" s="301">
        <v>1.5529371389349653E-2</v>
      </c>
      <c r="T322" s="14">
        <v>123.63636</v>
      </c>
      <c r="U322" s="301">
        <v>-0.18099547511312217</v>
      </c>
      <c r="V322" s="2">
        <v>103234</v>
      </c>
      <c r="W322" s="27">
        <v>1.2E-2</v>
      </c>
      <c r="X322" s="2">
        <v>1496</v>
      </c>
      <c r="Y322" s="2">
        <v>119334</v>
      </c>
      <c r="Z322" s="27">
        <v>1.4E-2</v>
      </c>
      <c r="AA322" s="14">
        <v>1385.45</v>
      </c>
      <c r="AB322" s="2">
        <v>86679</v>
      </c>
      <c r="AC322" s="27">
        <v>0.01</v>
      </c>
      <c r="AD322" s="14">
        <v>1621.82</v>
      </c>
      <c r="AE322" s="27">
        <v>-0.16</v>
      </c>
    </row>
    <row r="323" spans="1:31" x14ac:dyDescent="0.3">
      <c r="A323" t="s">
        <v>1830</v>
      </c>
      <c r="B323" s="2">
        <v>479</v>
      </c>
      <c r="C323" s="301">
        <v>3.835068054443555E-2</v>
      </c>
      <c r="D323" s="2">
        <v>109.69696969696901</v>
      </c>
      <c r="E323" s="2">
        <v>722</v>
      </c>
      <c r="F323" s="301">
        <v>5.4037871416810122E-2</v>
      </c>
      <c r="G323" s="14">
        <v>110.90909090909</v>
      </c>
      <c r="H323" s="2">
        <v>522</v>
      </c>
      <c r="I323" s="301">
        <v>3.6577675005255411E-2</v>
      </c>
      <c r="J323" s="14">
        <v>160</v>
      </c>
      <c r="K323" s="301">
        <v>8.9770354906054284E-2</v>
      </c>
      <c r="L323" s="2">
        <v>804</v>
      </c>
      <c r="M323" s="301">
        <v>2.45361328125E-2</v>
      </c>
      <c r="N323" s="2">
        <v>132.72727272727201</v>
      </c>
      <c r="O323" s="2">
        <v>1272</v>
      </c>
      <c r="P323" s="301">
        <v>3.8312099033161649E-2</v>
      </c>
      <c r="Q323" s="14">
        <v>168.48484848484799</v>
      </c>
      <c r="R323" s="2">
        <v>848</v>
      </c>
      <c r="S323" s="301">
        <v>2.4252130641194303E-2</v>
      </c>
      <c r="T323" s="14">
        <v>196.363632</v>
      </c>
      <c r="U323" s="301">
        <v>5.4726368159203981E-2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1831</v>
      </c>
      <c r="B324" s="2">
        <v>107</v>
      </c>
      <c r="C324" s="301">
        <v>8.5668534827862287E-3</v>
      </c>
      <c r="D324" s="2">
        <v>38.787878787878697</v>
      </c>
      <c r="E324" s="2">
        <v>100</v>
      </c>
      <c r="F324" s="301">
        <v>7.4844697253199609E-3</v>
      </c>
      <c r="G324" s="14">
        <v>42.424242424242401</v>
      </c>
      <c r="H324" s="2">
        <v>110</v>
      </c>
      <c r="I324" s="301">
        <v>7.7079391773526729E-3</v>
      </c>
      <c r="J324" s="14">
        <v>38.787880000000001</v>
      </c>
      <c r="K324" s="301">
        <v>2.8037383177570093E-2</v>
      </c>
      <c r="L324" s="2">
        <v>158</v>
      </c>
      <c r="M324" s="301">
        <v>4.82177734375E-3</v>
      </c>
      <c r="N324" s="2">
        <v>44.2424242424242</v>
      </c>
      <c r="O324" s="2">
        <v>188</v>
      </c>
      <c r="P324" s="301">
        <v>5.6624800457817535E-3</v>
      </c>
      <c r="Q324" s="14">
        <v>60.606060606060602</v>
      </c>
      <c r="R324" s="2">
        <v>155</v>
      </c>
      <c r="S324" s="301">
        <v>4.4328776525767886E-3</v>
      </c>
      <c r="T324" s="14">
        <v>44.848483999999999</v>
      </c>
      <c r="U324" s="301">
        <v>-1.8987341772151899E-2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1820</v>
      </c>
      <c r="B325" s="2">
        <v>9825</v>
      </c>
      <c r="C325" s="301">
        <v>0.78662930344275417</v>
      </c>
      <c r="D325" s="2">
        <v>262.42424242424198</v>
      </c>
      <c r="E325" s="2">
        <v>9964</v>
      </c>
      <c r="F325" s="301">
        <v>0.74575256343088092</v>
      </c>
      <c r="G325" s="14">
        <v>328.48484848484799</v>
      </c>
      <c r="H325" s="2">
        <v>11224</v>
      </c>
      <c r="I325" s="301">
        <v>0.78649008478733096</v>
      </c>
      <c r="J325" s="14">
        <v>446.06060000000002</v>
      </c>
      <c r="K325" s="301">
        <v>0.14239185750636132</v>
      </c>
      <c r="L325" s="2">
        <v>27983</v>
      </c>
      <c r="M325" s="301">
        <v>0.853973388671875</v>
      </c>
      <c r="N325" s="2">
        <v>440.60606060606</v>
      </c>
      <c r="O325" s="2">
        <v>26807</v>
      </c>
      <c r="P325" s="301">
        <v>0.80741543929399717</v>
      </c>
      <c r="Q325" s="14">
        <v>533.93939393939399</v>
      </c>
      <c r="R325" s="2">
        <v>29991</v>
      </c>
      <c r="S325" s="301">
        <v>0.85771892695761598</v>
      </c>
      <c r="T325" s="14">
        <v>515.75756799999999</v>
      </c>
      <c r="U325" s="301">
        <v>7.1757852982167747E-2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1768</v>
      </c>
      <c r="B326" s="2">
        <v>6921</v>
      </c>
      <c r="C326" s="301">
        <v>0.55412329863891108</v>
      </c>
      <c r="D326" s="2">
        <v>246.666666666666</v>
      </c>
      <c r="E326" s="2">
        <v>6935</v>
      </c>
      <c r="F326" s="301">
        <v>0.51904797545093928</v>
      </c>
      <c r="G326" s="14">
        <v>286.666666666666</v>
      </c>
      <c r="H326" s="2">
        <v>8081</v>
      </c>
      <c r="I326" s="301">
        <v>0.56625324083806317</v>
      </c>
      <c r="J326" s="14">
        <v>401.81817599999999</v>
      </c>
      <c r="K326" s="301">
        <v>0.16760583730674758</v>
      </c>
      <c r="L326" s="2">
        <v>22106</v>
      </c>
      <c r="M326" s="301">
        <v>0.67462158203125</v>
      </c>
      <c r="N326" s="2">
        <v>469.69696969696901</v>
      </c>
      <c r="O326" s="2">
        <v>21319</v>
      </c>
      <c r="P326" s="301">
        <v>0.64211921327670851</v>
      </c>
      <c r="Q326" s="14">
        <v>509.69696969696901</v>
      </c>
      <c r="R326" s="2">
        <v>23629</v>
      </c>
      <c r="S326" s="301">
        <v>0.67577074872733511</v>
      </c>
      <c r="T326" s="14">
        <v>496.36364700000001</v>
      </c>
      <c r="U326" s="301">
        <v>6.8895322536867823E-2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1822</v>
      </c>
      <c r="B327" s="2">
        <v>4283</v>
      </c>
      <c r="C327" s="301">
        <v>0.34291433146517214</v>
      </c>
      <c r="D327" s="2">
        <v>211.51515151515099</v>
      </c>
      <c r="E327" s="2">
        <v>3929</v>
      </c>
      <c r="F327" s="301">
        <v>0.29406481550782126</v>
      </c>
      <c r="G327" s="14">
        <v>236.363636363636</v>
      </c>
      <c r="H327" s="2">
        <v>4787</v>
      </c>
      <c r="I327" s="301">
        <v>0.33543549856352045</v>
      </c>
      <c r="J327" s="14">
        <v>287.878784</v>
      </c>
      <c r="K327" s="301">
        <v>0.11767452720056036</v>
      </c>
      <c r="L327" s="2">
        <v>10875</v>
      </c>
      <c r="M327" s="301">
        <v>0.331878662109375</v>
      </c>
      <c r="N327" s="2">
        <v>349.09090909090901</v>
      </c>
      <c r="O327" s="2">
        <v>9311</v>
      </c>
      <c r="P327" s="301">
        <v>0.28044336013975485</v>
      </c>
      <c r="Q327" s="14">
        <v>366.666666666666</v>
      </c>
      <c r="R327" s="2">
        <v>10882</v>
      </c>
      <c r="S327" s="301">
        <v>0.31121661042155235</v>
      </c>
      <c r="T327" s="14">
        <v>415.15152</v>
      </c>
      <c r="U327" s="301">
        <v>6.4367816091954024E-4</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1823</v>
      </c>
      <c r="B328" s="2">
        <v>597</v>
      </c>
      <c r="C328" s="301">
        <v>4.7798238590872698E-2</v>
      </c>
      <c r="D328" s="2">
        <v>114.54545454545401</v>
      </c>
      <c r="E328" s="2">
        <v>499</v>
      </c>
      <c r="F328" s="301">
        <v>3.7347503929346604E-2</v>
      </c>
      <c r="G328" s="14">
        <v>104.84848484848401</v>
      </c>
      <c r="H328" s="2">
        <v>589</v>
      </c>
      <c r="I328" s="301">
        <v>4.127251068600659E-2</v>
      </c>
      <c r="J328" s="14">
        <v>110.303032</v>
      </c>
      <c r="K328" s="301">
        <v>-1.340033500837521E-2</v>
      </c>
      <c r="L328" s="2">
        <v>1499</v>
      </c>
      <c r="M328" s="301">
        <v>4.5745849609375E-2</v>
      </c>
      <c r="N328" s="2">
        <v>180.60606060606</v>
      </c>
      <c r="O328" s="2">
        <v>1330</v>
      </c>
      <c r="P328" s="301">
        <v>4.0059034366434744E-2</v>
      </c>
      <c r="Q328" s="14">
        <v>170.30303030303</v>
      </c>
      <c r="R328" s="2">
        <v>1405</v>
      </c>
      <c r="S328" s="301">
        <v>4.0181890979808954E-2</v>
      </c>
      <c r="T328" s="14">
        <v>172.121216</v>
      </c>
      <c r="U328" s="301">
        <v>-6.2708472314876584E-2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1824</v>
      </c>
      <c r="B329" s="2">
        <v>1012</v>
      </c>
      <c r="C329" s="301">
        <v>8.1024819855884708E-2</v>
      </c>
      <c r="D329" s="2">
        <v>125.454545454545</v>
      </c>
      <c r="E329" s="2">
        <v>1118</v>
      </c>
      <c r="F329" s="301">
        <v>8.367637152907717E-2</v>
      </c>
      <c r="G329" s="14">
        <v>147.272727272727</v>
      </c>
      <c r="H329" s="2">
        <v>1498</v>
      </c>
      <c r="I329" s="301">
        <v>0.1049681171606755</v>
      </c>
      <c r="J329" s="14">
        <v>241.21212800000001</v>
      </c>
      <c r="K329" s="301">
        <v>0.48023715415019763</v>
      </c>
      <c r="L329" s="2">
        <v>2399</v>
      </c>
      <c r="M329" s="301">
        <v>7.3211669921875E-2</v>
      </c>
      <c r="N329" s="2">
        <v>174.54545454545399</v>
      </c>
      <c r="O329" s="2">
        <v>2207</v>
      </c>
      <c r="P329" s="301">
        <v>6.6473901388512391E-2</v>
      </c>
      <c r="Q329" s="14">
        <v>195.75757575757501</v>
      </c>
      <c r="R329" s="2">
        <v>3154</v>
      </c>
      <c r="S329" s="301">
        <v>9.0201910427272214E-2</v>
      </c>
      <c r="T329" s="14">
        <v>338.78787199999999</v>
      </c>
      <c r="U329" s="301">
        <v>0.31471446436015005</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1825</v>
      </c>
      <c r="B330" s="2">
        <v>2674</v>
      </c>
      <c r="C330" s="301">
        <v>0.21409127301841474</v>
      </c>
      <c r="D330" s="2">
        <v>189.69696969696901</v>
      </c>
      <c r="E330" s="2">
        <v>2312</v>
      </c>
      <c r="F330" s="301">
        <v>0.17304094004939749</v>
      </c>
      <c r="G330" s="14">
        <v>183.636363636363</v>
      </c>
      <c r="H330" s="2">
        <v>2700</v>
      </c>
      <c r="I330" s="301">
        <v>0.18919487071683835</v>
      </c>
      <c r="J330" s="14">
        <v>280.60604899999998</v>
      </c>
      <c r="K330" s="301">
        <v>9.7232610321615551E-3</v>
      </c>
      <c r="L330" s="2">
        <v>6977</v>
      </c>
      <c r="M330" s="301">
        <v>0.212921142578125</v>
      </c>
      <c r="N330" s="2">
        <v>270.30303030303003</v>
      </c>
      <c r="O330" s="2">
        <v>5774</v>
      </c>
      <c r="P330" s="301">
        <v>0.17391042438480769</v>
      </c>
      <c r="Q330" s="14">
        <v>274.54545454545399</v>
      </c>
      <c r="R330" s="2">
        <v>6323</v>
      </c>
      <c r="S330" s="301">
        <v>0.18083280901447121</v>
      </c>
      <c r="T330" s="14">
        <v>358.78787199999999</v>
      </c>
      <c r="U330" s="301">
        <v>-9.3736562992690273E-2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1826</v>
      </c>
      <c r="B331" s="2">
        <v>2638</v>
      </c>
      <c r="C331" s="301">
        <v>0.21120896717373899</v>
      </c>
      <c r="D331" s="2">
        <v>203.030303030303</v>
      </c>
      <c r="E331" s="2">
        <v>3006</v>
      </c>
      <c r="F331" s="301">
        <v>0.22498315994311802</v>
      </c>
      <c r="G331" s="14">
        <v>208.48484848484799</v>
      </c>
      <c r="H331" s="2">
        <v>3294</v>
      </c>
      <c r="I331" s="301">
        <v>0.23081774227454277</v>
      </c>
      <c r="J331" s="14">
        <v>334.54544099999998</v>
      </c>
      <c r="K331" s="301">
        <v>0.24867323730098559</v>
      </c>
      <c r="L331" s="2">
        <v>11231</v>
      </c>
      <c r="M331" s="301">
        <v>0.342742919921875</v>
      </c>
      <c r="N331" s="2">
        <v>359.39393939393898</v>
      </c>
      <c r="O331" s="2">
        <v>12008</v>
      </c>
      <c r="P331" s="301">
        <v>0.36167585313695372</v>
      </c>
      <c r="Q331" s="14">
        <v>359.39393939393898</v>
      </c>
      <c r="R331" s="2">
        <v>12747</v>
      </c>
      <c r="S331" s="301">
        <v>0.36455413830578276</v>
      </c>
      <c r="T331" s="14">
        <v>421.21212800000001</v>
      </c>
      <c r="U331" s="301">
        <v>0.13498352773573147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1769</v>
      </c>
      <c r="B332" s="2">
        <v>2904</v>
      </c>
      <c r="C332" s="301">
        <v>0.23250600480384306</v>
      </c>
      <c r="D332" s="2">
        <v>243.636363636363</v>
      </c>
      <c r="E332" s="2">
        <v>3029</v>
      </c>
      <c r="F332" s="301">
        <v>0.22670458797994161</v>
      </c>
      <c r="G332" s="14">
        <v>238.78787878787799</v>
      </c>
      <c r="H332" s="2">
        <v>3143</v>
      </c>
      <c r="I332" s="301">
        <v>0.22023684394926774</v>
      </c>
      <c r="J332" s="14">
        <v>316.36364700000001</v>
      </c>
      <c r="K332" s="301">
        <v>8.2300275482093663E-2</v>
      </c>
      <c r="L332" s="2">
        <v>5877</v>
      </c>
      <c r="M332" s="301">
        <v>0.179351806640625</v>
      </c>
      <c r="N332" s="2">
        <v>345.45454545454498</v>
      </c>
      <c r="O332" s="2">
        <v>5488</v>
      </c>
      <c r="P332" s="301">
        <v>0.16529622601728863</v>
      </c>
      <c r="Q332" s="14">
        <v>350.90909090909003</v>
      </c>
      <c r="R332" s="2">
        <v>6362</v>
      </c>
      <c r="S332" s="301">
        <v>0.18194817823028084</v>
      </c>
      <c r="T332" s="14">
        <v>443.63635299999999</v>
      </c>
      <c r="U332" s="301">
        <v>8.2525097839033515E-2</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1770</v>
      </c>
      <c r="B333" s="2">
        <v>1128</v>
      </c>
      <c r="C333" s="301">
        <v>9.0312249799839872E-2</v>
      </c>
      <c r="D333" s="2">
        <v>143.636363636363</v>
      </c>
      <c r="E333" s="2">
        <v>856</v>
      </c>
      <c r="F333" s="301">
        <v>6.4067060848738866E-2</v>
      </c>
      <c r="G333" s="14">
        <v>135.75757575757501</v>
      </c>
      <c r="H333" s="2">
        <v>964</v>
      </c>
      <c r="I333" s="301">
        <v>6.7549576063345246E-2</v>
      </c>
      <c r="J333" s="14">
        <v>149.090912</v>
      </c>
      <c r="K333" s="301">
        <v>-0.1453900709219858</v>
      </c>
      <c r="L333" s="2">
        <v>2259</v>
      </c>
      <c r="M333" s="301">
        <v>6.8939208984375E-2</v>
      </c>
      <c r="N333" s="2">
        <v>229.09090909090901</v>
      </c>
      <c r="O333" s="2">
        <v>1808</v>
      </c>
      <c r="P333" s="301">
        <v>5.4456191078581968E-2</v>
      </c>
      <c r="Q333" s="14">
        <v>196.363636363636</v>
      </c>
      <c r="R333" s="2">
        <v>2272</v>
      </c>
      <c r="S333" s="301">
        <v>6.4977406623577191E-2</v>
      </c>
      <c r="T333" s="14">
        <v>204.24243200000001</v>
      </c>
      <c r="U333" s="301">
        <v>5.754758742806552E-3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1827</v>
      </c>
      <c r="B334" s="2">
        <v>636</v>
      </c>
      <c r="C334" s="301">
        <v>5.0920736589271418E-2</v>
      </c>
      <c r="D334" s="2">
        <v>109.69696969696901</v>
      </c>
      <c r="E334" s="2">
        <v>479</v>
      </c>
      <c r="F334" s="301">
        <v>3.5850609984282612E-2</v>
      </c>
      <c r="G334" s="14">
        <v>94.545454545454504</v>
      </c>
      <c r="H334" s="2">
        <v>614</v>
      </c>
      <c r="I334" s="301">
        <v>4.3024315044495831E-2</v>
      </c>
      <c r="J334" s="14">
        <v>136.96969999999999</v>
      </c>
      <c r="K334" s="301">
        <v>-3.4591194968553458E-2</v>
      </c>
      <c r="L334" s="2">
        <v>1212</v>
      </c>
      <c r="M334" s="301">
        <v>3.69873046875E-2</v>
      </c>
      <c r="N334" s="2">
        <v>166.06060606060601</v>
      </c>
      <c r="O334" s="2">
        <v>914</v>
      </c>
      <c r="P334" s="301">
        <v>2.7529291286407034E-2</v>
      </c>
      <c r="Q334" s="14">
        <v>123.030303030303</v>
      </c>
      <c r="R334" s="2">
        <v>1346</v>
      </c>
      <c r="S334" s="301">
        <v>3.8494537550763597E-2</v>
      </c>
      <c r="T334" s="14">
        <v>163.636368</v>
      </c>
      <c r="U334" s="301">
        <v>0.11056105610561057</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1828</v>
      </c>
      <c r="B335" s="2">
        <v>108</v>
      </c>
      <c r="C335" s="301">
        <v>8.6469175340272222E-3</v>
      </c>
      <c r="D335" s="2">
        <v>44.848484848484802</v>
      </c>
      <c r="E335" s="2">
        <v>37</v>
      </c>
      <c r="F335" s="301">
        <v>2.7692537983683855E-3</v>
      </c>
      <c r="G335" s="14">
        <v>21.2121212121212</v>
      </c>
      <c r="H335" s="2">
        <v>84</v>
      </c>
      <c r="I335" s="301">
        <v>5.8860626445238597E-3</v>
      </c>
      <c r="J335" s="14">
        <v>36.969695999999999</v>
      </c>
      <c r="K335" s="301">
        <v>-0.22222222222222221</v>
      </c>
      <c r="L335" s="2">
        <v>168</v>
      </c>
      <c r="M335" s="301">
        <v>5.126953125E-3</v>
      </c>
      <c r="N335" s="2">
        <v>57.5757575757575</v>
      </c>
      <c r="O335" s="2">
        <v>122</v>
      </c>
      <c r="P335" s="301">
        <v>3.6745881148158186E-3</v>
      </c>
      <c r="Q335" s="14">
        <v>48.484848484848399</v>
      </c>
      <c r="R335" s="2">
        <v>175</v>
      </c>
      <c r="S335" s="301">
        <v>5.0048618658125035E-3</v>
      </c>
      <c r="T335" s="14">
        <v>50.303031900000001</v>
      </c>
      <c r="U335" s="301">
        <v>4.1666666666666664E-2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1829</v>
      </c>
      <c r="B336" s="2">
        <v>94</v>
      </c>
      <c r="C336" s="301">
        <v>7.5260208166533227E-3</v>
      </c>
      <c r="D336" s="2">
        <v>43.636363636363598</v>
      </c>
      <c r="E336" s="2">
        <v>62</v>
      </c>
      <c r="F336" s="301">
        <v>4.6403712296983757E-3</v>
      </c>
      <c r="G336" s="14">
        <v>32.727272727272698</v>
      </c>
      <c r="H336" s="2">
        <v>133</v>
      </c>
      <c r="I336" s="301">
        <v>9.3195991871627779E-3</v>
      </c>
      <c r="J336" s="14">
        <v>56.969695999999999</v>
      </c>
      <c r="K336" s="301">
        <v>0.41489361702127658</v>
      </c>
      <c r="L336" s="2">
        <v>192</v>
      </c>
      <c r="M336" s="301">
        <v>5.859375E-3</v>
      </c>
      <c r="N336" s="2">
        <v>60</v>
      </c>
      <c r="O336" s="2">
        <v>148</v>
      </c>
      <c r="P336" s="301">
        <v>4.4576970573175509E-3</v>
      </c>
      <c r="Q336" s="14">
        <v>50.909090909090899</v>
      </c>
      <c r="R336" s="2">
        <v>349</v>
      </c>
      <c r="S336" s="301">
        <v>9.9811245209632214E-3</v>
      </c>
      <c r="T336" s="14">
        <v>79.393936199999999</v>
      </c>
      <c r="U336" s="301">
        <v>0.81770833333333337</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1830</v>
      </c>
      <c r="B337" s="2">
        <v>434</v>
      </c>
      <c r="C337" s="301">
        <v>3.4747798238590873E-2</v>
      </c>
      <c r="D337" s="2">
        <v>92.121212121212096</v>
      </c>
      <c r="E337" s="2">
        <v>380</v>
      </c>
      <c r="F337" s="301">
        <v>2.8440984956215852E-2</v>
      </c>
      <c r="G337" s="14">
        <v>87.878787878787904</v>
      </c>
      <c r="H337" s="2">
        <v>397</v>
      </c>
      <c r="I337" s="301">
        <v>2.7818653212809193E-2</v>
      </c>
      <c r="J337" s="14">
        <v>110.909088</v>
      </c>
      <c r="K337" s="301">
        <v>-8.5253456221198162E-2</v>
      </c>
      <c r="L337" s="2">
        <v>852</v>
      </c>
      <c r="M337" s="301">
        <v>2.60009765625E-2</v>
      </c>
      <c r="N337" s="2">
        <v>143.030303030303</v>
      </c>
      <c r="O337" s="2">
        <v>644</v>
      </c>
      <c r="P337" s="301">
        <v>1.9397006114273665E-2</v>
      </c>
      <c r="Q337" s="14">
        <v>116.969696969697</v>
      </c>
      <c r="R337" s="2">
        <v>822</v>
      </c>
      <c r="S337" s="301">
        <v>2.3508551163987874E-2</v>
      </c>
      <c r="T337" s="14">
        <v>133.33332799999999</v>
      </c>
      <c r="U337" s="301">
        <v>-3.5211267605633804E-2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1831</v>
      </c>
      <c r="B338" s="2">
        <v>492</v>
      </c>
      <c r="C338" s="301">
        <v>3.9391513210568455E-2</v>
      </c>
      <c r="D338" s="2">
        <v>118.181818181818</v>
      </c>
      <c r="E338" s="2">
        <v>377</v>
      </c>
      <c r="F338" s="301">
        <v>2.8216450864456254E-2</v>
      </c>
      <c r="G338" s="14">
        <v>86.6666666666666</v>
      </c>
      <c r="H338" s="2">
        <v>350</v>
      </c>
      <c r="I338" s="301">
        <v>2.4525261018849415E-2</v>
      </c>
      <c r="J338" s="14">
        <v>98.181816100000006</v>
      </c>
      <c r="K338" s="301">
        <v>-0.2886178861788618</v>
      </c>
      <c r="L338" s="2">
        <v>1047</v>
      </c>
      <c r="M338" s="301">
        <v>3.1951904296875E-2</v>
      </c>
      <c r="N338" s="2">
        <v>167.87878787878699</v>
      </c>
      <c r="O338" s="2">
        <v>894</v>
      </c>
      <c r="P338" s="301">
        <v>2.6926899792174934E-2</v>
      </c>
      <c r="Q338" s="14">
        <v>129.69696969696901</v>
      </c>
      <c r="R338" s="2">
        <v>926</v>
      </c>
      <c r="S338" s="301">
        <v>2.6482869072813591E-2</v>
      </c>
      <c r="T338" s="14">
        <v>147.878784</v>
      </c>
      <c r="U338" s="301">
        <v>-0.11556829035339064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1771</v>
      </c>
      <c r="B339" s="2">
        <v>1776</v>
      </c>
      <c r="C339" s="301">
        <v>0.14219375500400319</v>
      </c>
      <c r="D339" s="2">
        <v>195.15151515151501</v>
      </c>
      <c r="E339" s="2">
        <v>2173</v>
      </c>
      <c r="F339" s="301">
        <v>0.16263752713120275</v>
      </c>
      <c r="G339" s="14">
        <v>204.84848484848399</v>
      </c>
      <c r="H339" s="2">
        <v>2179</v>
      </c>
      <c r="I339" s="301">
        <v>0.15268726788592249</v>
      </c>
      <c r="J339" s="14">
        <v>259.39395100000002</v>
      </c>
      <c r="K339" s="301">
        <v>0.22691441441441443</v>
      </c>
      <c r="L339" s="2">
        <v>3618</v>
      </c>
      <c r="M339" s="301">
        <v>0.11041259765625</v>
      </c>
      <c r="N339" s="2">
        <v>224.84848484848399</v>
      </c>
      <c r="O339" s="2">
        <v>3680</v>
      </c>
      <c r="P339" s="301">
        <v>0.11084003493870667</v>
      </c>
      <c r="Q339" s="14">
        <v>293.93939393939303</v>
      </c>
      <c r="R339" s="2">
        <v>4090</v>
      </c>
      <c r="S339" s="301">
        <v>0.11697077160670366</v>
      </c>
      <c r="T339" s="14">
        <v>341.21212800000001</v>
      </c>
      <c r="U339" s="301">
        <v>0.13045881702598119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1827</v>
      </c>
      <c r="B340" s="2">
        <v>1366</v>
      </c>
      <c r="C340" s="301">
        <v>0.10936749399519616</v>
      </c>
      <c r="D340" s="2">
        <v>165.45454545454501</v>
      </c>
      <c r="E340" s="2">
        <v>1382</v>
      </c>
      <c r="F340" s="301">
        <v>0.10343537160392187</v>
      </c>
      <c r="G340" s="14">
        <v>177.575757575757</v>
      </c>
      <c r="H340" s="2">
        <v>1524</v>
      </c>
      <c r="I340" s="301">
        <v>0.10678999369350431</v>
      </c>
      <c r="J340" s="14">
        <v>258.78787199999999</v>
      </c>
      <c r="K340" s="301">
        <v>0.11566617862371889</v>
      </c>
      <c r="L340" s="2">
        <v>2426</v>
      </c>
      <c r="M340" s="301">
        <v>7.403564453125E-2</v>
      </c>
      <c r="N340" s="2">
        <v>203.030303030303</v>
      </c>
      <c r="O340" s="2">
        <v>2218</v>
      </c>
      <c r="P340" s="301">
        <v>6.6805216710340051E-2</v>
      </c>
      <c r="Q340" s="14">
        <v>235.75757575757501</v>
      </c>
      <c r="R340" s="2">
        <v>2470</v>
      </c>
      <c r="S340" s="301">
        <v>7.0640050334610766E-2</v>
      </c>
      <c r="T340" s="14">
        <v>332.72726399999999</v>
      </c>
      <c r="U340" s="301">
        <v>1.8136850783182192E-2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1828</v>
      </c>
      <c r="B341" s="2">
        <v>270</v>
      </c>
      <c r="C341" s="301">
        <v>2.1617293835068056E-2</v>
      </c>
      <c r="D341" s="2">
        <v>83.636363636363598</v>
      </c>
      <c r="E341" s="2">
        <v>173</v>
      </c>
      <c r="F341" s="301">
        <v>1.2948132624803533E-2</v>
      </c>
      <c r="G341" s="14">
        <v>67.878787878787804</v>
      </c>
      <c r="H341" s="2">
        <v>166</v>
      </c>
      <c r="I341" s="301">
        <v>1.163198094036858E-2</v>
      </c>
      <c r="J341" s="14">
        <v>63.636364</v>
      </c>
      <c r="K341" s="301">
        <v>-0.38518518518518519</v>
      </c>
      <c r="L341" s="2">
        <v>422</v>
      </c>
      <c r="M341" s="301">
        <v>1.287841796875E-2</v>
      </c>
      <c r="N341" s="2">
        <v>103.636363636363</v>
      </c>
      <c r="O341" s="2">
        <v>258</v>
      </c>
      <c r="P341" s="301">
        <v>7.7708502755941085E-3</v>
      </c>
      <c r="Q341" s="14">
        <v>60.606060606060602</v>
      </c>
      <c r="R341" s="2">
        <v>356</v>
      </c>
      <c r="S341" s="301">
        <v>1.0181318995595722E-2</v>
      </c>
      <c r="T341" s="14">
        <v>77.575760000000002</v>
      </c>
      <c r="U341" s="301">
        <v>-0.15639810426540285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1829</v>
      </c>
      <c r="B342" s="2">
        <v>285</v>
      </c>
      <c r="C342" s="301">
        <v>2.2818254603682947E-2</v>
      </c>
      <c r="D342" s="2">
        <v>81.818181818181799</v>
      </c>
      <c r="E342" s="2">
        <v>199</v>
      </c>
      <c r="F342" s="301">
        <v>1.4894094753386723E-2</v>
      </c>
      <c r="G342" s="14">
        <v>66.6666666666666</v>
      </c>
      <c r="H342" s="2">
        <v>497</v>
      </c>
      <c r="I342" s="301">
        <v>3.482587064676617E-2</v>
      </c>
      <c r="J342" s="14">
        <v>129.090912</v>
      </c>
      <c r="K342" s="301">
        <v>0.743859649122807</v>
      </c>
      <c r="L342" s="2">
        <v>464</v>
      </c>
      <c r="M342" s="301">
        <v>1.416015625E-2</v>
      </c>
      <c r="N342" s="2">
        <v>96.363636363636402</v>
      </c>
      <c r="O342" s="2">
        <v>278</v>
      </c>
      <c r="P342" s="301">
        <v>8.3732417698262097E-3</v>
      </c>
      <c r="Q342" s="14">
        <v>84.848484848484802</v>
      </c>
      <c r="R342" s="2">
        <v>637</v>
      </c>
      <c r="S342" s="301">
        <v>1.8217697191557514E-2</v>
      </c>
      <c r="T342" s="14">
        <v>136.363632</v>
      </c>
      <c r="U342" s="301">
        <v>0.37284482758620691</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1830</v>
      </c>
      <c r="B343" s="2">
        <v>811</v>
      </c>
      <c r="C343" s="301">
        <v>6.4931945556445159E-2</v>
      </c>
      <c r="D343" s="2">
        <v>150.90909090909</v>
      </c>
      <c r="E343" s="2">
        <v>1010</v>
      </c>
      <c r="F343" s="301">
        <v>7.5593144225731601E-2</v>
      </c>
      <c r="G343" s="14">
        <v>169.09090909090901</v>
      </c>
      <c r="H343" s="2">
        <v>861</v>
      </c>
      <c r="I343" s="301">
        <v>6.0332142106369557E-2</v>
      </c>
      <c r="J343" s="14">
        <v>218.18182400000001</v>
      </c>
      <c r="K343" s="301">
        <v>6.1652281134401972E-2</v>
      </c>
      <c r="L343" s="2">
        <v>1540</v>
      </c>
      <c r="M343" s="301">
        <v>4.69970703125E-2</v>
      </c>
      <c r="N343" s="2">
        <v>188.48484848484799</v>
      </c>
      <c r="O343" s="2">
        <v>1682</v>
      </c>
      <c r="P343" s="301">
        <v>5.0661124664919732E-2</v>
      </c>
      <c r="Q343" s="14">
        <v>215.15151515151501</v>
      </c>
      <c r="R343" s="2">
        <v>1477</v>
      </c>
      <c r="S343" s="301">
        <v>4.2241034147457529E-2</v>
      </c>
      <c r="T343" s="14">
        <v>267.27273600000001</v>
      </c>
      <c r="U343" s="301">
        <v>-4.0909090909090909E-2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1831</v>
      </c>
      <c r="B344" s="2">
        <v>410</v>
      </c>
      <c r="C344" s="301">
        <v>3.2826261008807048E-2</v>
      </c>
      <c r="D344" s="2">
        <v>81.212121212121204</v>
      </c>
      <c r="E344" s="2">
        <v>791</v>
      </c>
      <c r="F344" s="301">
        <v>5.9202155527280892E-2</v>
      </c>
      <c r="G344" s="14">
        <v>116.363636363636</v>
      </c>
      <c r="H344" s="2">
        <v>655</v>
      </c>
      <c r="I344" s="301">
        <v>4.5897274192418187E-2</v>
      </c>
      <c r="J344" s="14">
        <v>141.81817599999999</v>
      </c>
      <c r="K344" s="301">
        <v>0.59756097560975607</v>
      </c>
      <c r="L344" s="2">
        <v>1192</v>
      </c>
      <c r="M344" s="301">
        <v>3.6376953125E-2</v>
      </c>
      <c r="N344" s="2">
        <v>133.939393939393</v>
      </c>
      <c r="O344" s="2">
        <v>1462</v>
      </c>
      <c r="P344" s="301">
        <v>4.4034818228366614E-2</v>
      </c>
      <c r="Q344" s="14">
        <v>180</v>
      </c>
      <c r="R344" s="2">
        <v>1620</v>
      </c>
      <c r="S344" s="301">
        <v>4.6330721272092888E-2</v>
      </c>
      <c r="T344" s="14">
        <v>213.939392</v>
      </c>
      <c r="U344" s="301">
        <v>0.35906040268456374</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1832</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1706</v>
      </c>
      <c r="C347" s="304"/>
      <c r="D347" s="304" t="s">
        <v>1707</v>
      </c>
      <c r="E347" s="304" t="s">
        <v>1706</v>
      </c>
      <c r="F347" s="304"/>
      <c r="G347" s="304" t="s">
        <v>1707</v>
      </c>
      <c r="H347" s="304" t="s">
        <v>1706</v>
      </c>
      <c r="I347" s="304"/>
      <c r="J347" s="304" t="s">
        <v>1707</v>
      </c>
      <c r="K347" t="s">
        <v>172</v>
      </c>
      <c r="L347" s="304" t="s">
        <v>1706</v>
      </c>
      <c r="M347" s="304"/>
      <c r="N347" s="304" t="s">
        <v>1707</v>
      </c>
      <c r="O347" s="304" t="s">
        <v>1706</v>
      </c>
      <c r="P347" s="304"/>
      <c r="Q347" s="304" t="s">
        <v>1707</v>
      </c>
      <c r="R347" s="304" t="s">
        <v>1706</v>
      </c>
      <c r="S347" s="304"/>
      <c r="T347" s="304" t="s">
        <v>1707</v>
      </c>
      <c r="U347" t="s">
        <v>172</v>
      </c>
      <c r="V347" s="207" t="s">
        <v>1706</v>
      </c>
      <c r="W347" s="207"/>
      <c r="X347" s="207" t="s">
        <v>1707</v>
      </c>
      <c r="Y347" s="207" t="s">
        <v>1706</v>
      </c>
      <c r="Z347" s="207"/>
      <c r="AA347" s="207" t="s">
        <v>1707</v>
      </c>
      <c r="AB347" s="207" t="s">
        <v>1706</v>
      </c>
      <c r="AC347" s="207"/>
      <c r="AD347" s="207" t="s">
        <v>1707</v>
      </c>
      <c r="AE347" t="s">
        <v>172</v>
      </c>
    </row>
    <row r="348" spans="1:31" x14ac:dyDescent="0.3">
      <c r="A348" t="s">
        <v>174</v>
      </c>
      <c r="B348" s="2">
        <v>9879</v>
      </c>
      <c r="C348" t="s">
        <v>172</v>
      </c>
      <c r="D348" s="2">
        <v>255.15151515151501</v>
      </c>
      <c r="E348" s="2">
        <v>10513</v>
      </c>
      <c r="F348" t="s">
        <v>172</v>
      </c>
      <c r="G348" s="14">
        <v>317.575757575757</v>
      </c>
      <c r="H348" s="2">
        <v>7467</v>
      </c>
      <c r="I348" t="s">
        <v>172</v>
      </c>
      <c r="J348" s="14">
        <v>373.93939999999998</v>
      </c>
      <c r="K348" s="301">
        <v>-0.24415426662617673</v>
      </c>
      <c r="L348" s="2">
        <v>27163</v>
      </c>
      <c r="M348" t="s">
        <v>172</v>
      </c>
      <c r="N348" s="2">
        <v>375.75757575757501</v>
      </c>
      <c r="O348" s="2">
        <v>28173</v>
      </c>
      <c r="P348" t="s">
        <v>172</v>
      </c>
      <c r="Q348" s="14">
        <v>479.39393939393898</v>
      </c>
      <c r="R348" s="2">
        <v>23297</v>
      </c>
      <c r="S348" t="s">
        <v>172</v>
      </c>
      <c r="T348" s="14">
        <v>497.57574499999998</v>
      </c>
      <c r="U348" s="301">
        <v>-0.14232595810477489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1804</v>
      </c>
      <c r="B349" s="2">
        <v>2026</v>
      </c>
      <c r="C349" s="301">
        <v>0.20508148598036238</v>
      </c>
      <c r="D349" s="2">
        <v>170.30303030303</v>
      </c>
      <c r="E349" s="2">
        <v>2633</v>
      </c>
      <c r="F349" s="301">
        <v>0.25045182155426615</v>
      </c>
      <c r="G349" s="14">
        <v>230.90909090909</v>
      </c>
      <c r="H349" s="2">
        <v>1255</v>
      </c>
      <c r="I349" s="301">
        <v>0.16807285389045132</v>
      </c>
      <c r="J349" s="14">
        <v>170.30302399999999</v>
      </c>
      <c r="K349" s="301">
        <v>-0.38055281342546893</v>
      </c>
      <c r="L349" s="2">
        <v>3698</v>
      </c>
      <c r="M349" s="301">
        <v>0.13614107425542099</v>
      </c>
      <c r="N349" s="2">
        <v>257.575757575757</v>
      </c>
      <c r="O349" s="2">
        <v>5310</v>
      </c>
      <c r="P349" s="301">
        <v>0.18847833031626024</v>
      </c>
      <c r="Q349" s="14">
        <v>312.12121212121201</v>
      </c>
      <c r="R349" s="2">
        <v>2444</v>
      </c>
      <c r="S349" s="301">
        <v>0.10490621110014164</v>
      </c>
      <c r="T349" s="14">
        <v>275.15152</v>
      </c>
      <c r="U349" s="301">
        <v>-0.33910221741481883</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1768</v>
      </c>
      <c r="B350" s="2">
        <v>1062</v>
      </c>
      <c r="C350" s="301">
        <v>0.10750075918615244</v>
      </c>
      <c r="D350" s="2">
        <v>121.818181818181</v>
      </c>
      <c r="E350" s="2">
        <v>916</v>
      </c>
      <c r="F350" s="301">
        <v>8.7130219727955871E-2</v>
      </c>
      <c r="G350" s="14">
        <v>123.636363636363</v>
      </c>
      <c r="H350" s="2">
        <v>672</v>
      </c>
      <c r="I350" s="301">
        <v>8.9995982322217755E-2</v>
      </c>
      <c r="J350" s="14">
        <v>122.42424</v>
      </c>
      <c r="K350" s="301">
        <v>-0.3672316384180791</v>
      </c>
      <c r="L350" s="2">
        <v>1948</v>
      </c>
      <c r="M350" s="301">
        <v>7.1715200824651174E-2</v>
      </c>
      <c r="N350" s="2">
        <v>184.24242424242399</v>
      </c>
      <c r="O350" s="2">
        <v>2417</v>
      </c>
      <c r="P350" s="301">
        <v>8.5791360522486065E-2</v>
      </c>
      <c r="Q350" s="14">
        <v>199.39393939393901</v>
      </c>
      <c r="R350" s="2">
        <v>1185</v>
      </c>
      <c r="S350" s="301">
        <v>5.0864918229814995E-2</v>
      </c>
      <c r="T350" s="14">
        <v>170.909088</v>
      </c>
      <c r="U350" s="301">
        <v>-0.39168377823408623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1822</v>
      </c>
      <c r="B351" s="2">
        <v>884</v>
      </c>
      <c r="C351" s="301">
        <v>8.9482741168134428E-2</v>
      </c>
      <c r="D351" s="2">
        <v>112.72727272727199</v>
      </c>
      <c r="E351" s="2">
        <v>707</v>
      </c>
      <c r="F351" s="301">
        <v>6.725007134024541E-2</v>
      </c>
      <c r="G351" s="14">
        <v>106.06060606060601</v>
      </c>
      <c r="H351" s="2">
        <v>534</v>
      </c>
      <c r="I351" s="301">
        <v>7.1514664523905189E-2</v>
      </c>
      <c r="J351" s="14">
        <v>125.454544</v>
      </c>
      <c r="K351" s="301">
        <v>-0.39592760180995473</v>
      </c>
      <c r="L351" s="2">
        <v>1462</v>
      </c>
      <c r="M351" s="301">
        <v>5.3823215403305966E-2</v>
      </c>
      <c r="N351" s="2">
        <v>163.636363636363</v>
      </c>
      <c r="O351" s="2">
        <v>1652</v>
      </c>
      <c r="P351" s="301">
        <v>5.8637702765058745E-2</v>
      </c>
      <c r="Q351" s="14">
        <v>167.272727272727</v>
      </c>
      <c r="R351" s="2">
        <v>884</v>
      </c>
      <c r="S351" s="301">
        <v>3.7944799759625704E-2</v>
      </c>
      <c r="T351" s="14">
        <v>152.72728000000001</v>
      </c>
      <c r="U351" s="301">
        <v>-0.39534883720930231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1823</v>
      </c>
      <c r="B352" s="2">
        <v>97</v>
      </c>
      <c r="C352" s="301">
        <v>9.8188075716165602E-3</v>
      </c>
      <c r="D352" s="2">
        <v>40.606060606060602</v>
      </c>
      <c r="E352" s="2">
        <v>76</v>
      </c>
      <c r="F352" s="301">
        <v>7.229144868258347E-3</v>
      </c>
      <c r="G352" s="14">
        <v>30.909090909090899</v>
      </c>
      <c r="H352" s="2">
        <v>0</v>
      </c>
      <c r="I352" s="301">
        <v>0</v>
      </c>
      <c r="J352" s="14">
        <v>18.787877999999999</v>
      </c>
      <c r="K352" s="301">
        <v>-1</v>
      </c>
      <c r="L352" s="2">
        <v>115</v>
      </c>
      <c r="M352" s="301">
        <v>4.2337002540220152E-3</v>
      </c>
      <c r="N352" s="2">
        <v>46.6666666666666</v>
      </c>
      <c r="O352" s="2">
        <v>184</v>
      </c>
      <c r="P352" s="301">
        <v>6.5310758527668336E-3</v>
      </c>
      <c r="Q352" s="14">
        <v>55.151515151515099</v>
      </c>
      <c r="R352" s="2">
        <v>43</v>
      </c>
      <c r="S352" s="301">
        <v>1.8457312100270422E-3</v>
      </c>
      <c r="T352" s="14">
        <v>42.4242439</v>
      </c>
      <c r="U352" s="301">
        <v>-0.62608695652173918</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1824</v>
      </c>
      <c r="B353" s="2">
        <v>484</v>
      </c>
      <c r="C353" s="301">
        <v>4.8992813037756856E-2</v>
      </c>
      <c r="D353" s="2">
        <v>87.878787878787904</v>
      </c>
      <c r="E353" s="2">
        <v>312</v>
      </c>
      <c r="F353" s="301">
        <v>2.9677542090744791E-2</v>
      </c>
      <c r="G353" s="14">
        <v>68.484848484848399</v>
      </c>
      <c r="H353" s="2">
        <v>310</v>
      </c>
      <c r="I353" s="301">
        <v>4.1516003749832595E-2</v>
      </c>
      <c r="J353" s="14">
        <v>87.272729999999996</v>
      </c>
      <c r="K353" s="301">
        <v>-0.35950413223140498</v>
      </c>
      <c r="L353" s="2">
        <v>693</v>
      </c>
      <c r="M353" s="301">
        <v>2.5512645878584841E-2</v>
      </c>
      <c r="N353" s="2">
        <v>109.09090909090899</v>
      </c>
      <c r="O353" s="2">
        <v>754</v>
      </c>
      <c r="P353" s="301">
        <v>2.6763213005359741E-2</v>
      </c>
      <c r="Q353" s="14">
        <v>122.424242424242</v>
      </c>
      <c r="R353" s="2">
        <v>419</v>
      </c>
      <c r="S353" s="301">
        <v>1.7985148302356528E-2</v>
      </c>
      <c r="T353" s="14">
        <v>113.333336</v>
      </c>
      <c r="U353" s="301">
        <v>-0.39538239538239539</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1825</v>
      </c>
      <c r="B354" s="2">
        <v>303</v>
      </c>
      <c r="C354" s="301">
        <v>3.0671120558761009E-2</v>
      </c>
      <c r="D354" s="2">
        <v>79.393939393939405</v>
      </c>
      <c r="E354" s="2">
        <v>319</v>
      </c>
      <c r="F354" s="301">
        <v>3.0343384381242271E-2</v>
      </c>
      <c r="G354" s="14">
        <v>84.242424242424207</v>
      </c>
      <c r="H354" s="2">
        <v>224</v>
      </c>
      <c r="I354" s="301">
        <v>2.9998660774072587E-2</v>
      </c>
      <c r="J354" s="14">
        <v>82.424239999999998</v>
      </c>
      <c r="K354" s="301">
        <v>-0.26072607260726072</v>
      </c>
      <c r="L354" s="2">
        <v>654</v>
      </c>
      <c r="M354" s="301">
        <v>2.4076869270699113E-2</v>
      </c>
      <c r="N354" s="2">
        <v>135.75757575757501</v>
      </c>
      <c r="O354" s="2">
        <v>714</v>
      </c>
      <c r="P354" s="301">
        <v>2.534341390693217E-2</v>
      </c>
      <c r="Q354" s="14">
        <v>117.575757575757</v>
      </c>
      <c r="R354" s="2">
        <v>422</v>
      </c>
      <c r="S354" s="301">
        <v>1.8113920247242135E-2</v>
      </c>
      <c r="T354" s="14">
        <v>100</v>
      </c>
      <c r="U354" s="301">
        <v>-0.35474006116207951</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1826</v>
      </c>
      <c r="B355" s="2">
        <v>178</v>
      </c>
      <c r="C355" s="301">
        <v>1.8018018018018018E-2</v>
      </c>
      <c r="D355" s="2">
        <v>58.787878787878803</v>
      </c>
      <c r="E355" s="2">
        <v>209</v>
      </c>
      <c r="F355" s="301">
        <v>1.9880148387710454E-2</v>
      </c>
      <c r="G355" s="14">
        <v>66.060606060606005</v>
      </c>
      <c r="H355" s="2">
        <v>138</v>
      </c>
      <c r="I355" s="301">
        <v>1.8481317798312576E-2</v>
      </c>
      <c r="J355" s="14">
        <v>49.696968099999999</v>
      </c>
      <c r="K355" s="301">
        <v>-0.2247191011235955</v>
      </c>
      <c r="L355" s="2">
        <v>486</v>
      </c>
      <c r="M355" s="301">
        <v>1.7891985421345211E-2</v>
      </c>
      <c r="N355" s="2">
        <v>90.909090909090907</v>
      </c>
      <c r="O355" s="2">
        <v>765</v>
      </c>
      <c r="P355" s="301">
        <v>2.7153657757427323E-2</v>
      </c>
      <c r="Q355" s="14">
        <v>129.69696969696901</v>
      </c>
      <c r="R355" s="2">
        <v>301</v>
      </c>
      <c r="S355" s="301">
        <v>1.2920118470189295E-2</v>
      </c>
      <c r="T355" s="14">
        <v>70.303030000000007</v>
      </c>
      <c r="U355" s="301">
        <v>-0.38065843621399176</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1769</v>
      </c>
      <c r="B356" s="2">
        <v>964</v>
      </c>
      <c r="C356" s="301">
        <v>9.758072679420994E-2</v>
      </c>
      <c r="D356" s="2">
        <v>121.212121212121</v>
      </c>
      <c r="E356" s="2">
        <v>1717</v>
      </c>
      <c r="F356" s="301">
        <v>0.16332160182631028</v>
      </c>
      <c r="G356" s="14">
        <v>184.84848484848399</v>
      </c>
      <c r="H356" s="2">
        <v>583</v>
      </c>
      <c r="I356" s="301">
        <v>7.8076871568233563E-2</v>
      </c>
      <c r="J356" s="14">
        <v>116.969696</v>
      </c>
      <c r="K356" s="301">
        <v>-0.39522821576763484</v>
      </c>
      <c r="L356" s="2">
        <v>1750</v>
      </c>
      <c r="M356" s="301">
        <v>6.4425873430769803E-2</v>
      </c>
      <c r="N356" s="2">
        <v>175.15151515151501</v>
      </c>
      <c r="O356" s="2">
        <v>2893</v>
      </c>
      <c r="P356" s="301">
        <v>0.10268696979377417</v>
      </c>
      <c r="Q356" s="14">
        <v>252.72727272727201</v>
      </c>
      <c r="R356" s="2">
        <v>1259</v>
      </c>
      <c r="S356" s="301">
        <v>5.4041292870326649E-2</v>
      </c>
      <c r="T356" s="14">
        <v>198.18182400000001</v>
      </c>
      <c r="U356" s="301">
        <v>-0.28057142857142858</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1770</v>
      </c>
      <c r="B357" s="2">
        <v>36</v>
      </c>
      <c r="C357" s="301">
        <v>3.6440935317339812E-3</v>
      </c>
      <c r="D357" s="2">
        <v>26.6666666666666</v>
      </c>
      <c r="E357" s="2">
        <v>340</v>
      </c>
      <c r="F357" s="301">
        <v>3.2340911252734708E-2</v>
      </c>
      <c r="G357" s="14">
        <v>97.575757575757606</v>
      </c>
      <c r="H357" s="2">
        <v>167</v>
      </c>
      <c r="I357" s="301">
        <v>2.2365072987813043E-2</v>
      </c>
      <c r="J357" s="14">
        <v>64.242424</v>
      </c>
      <c r="K357" s="301">
        <v>3.6388888888888888</v>
      </c>
      <c r="L357" s="2">
        <v>191</v>
      </c>
      <c r="M357" s="301">
        <v>7.0316239001583037E-3</v>
      </c>
      <c r="N357" s="2">
        <v>58.181818181818201</v>
      </c>
      <c r="O357" s="2">
        <v>659</v>
      </c>
      <c r="P357" s="301">
        <v>2.3391190146594257E-2</v>
      </c>
      <c r="Q357" s="14">
        <v>123.030303030303</v>
      </c>
      <c r="R357" s="2">
        <v>304</v>
      </c>
      <c r="S357" s="301">
        <v>1.3048890415074902E-2</v>
      </c>
      <c r="T357" s="14">
        <v>89.090909999999994</v>
      </c>
      <c r="U357" s="301">
        <v>0.59162303664921467</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1827</v>
      </c>
      <c r="B358" s="2">
        <v>36</v>
      </c>
      <c r="C358" s="301">
        <v>3.6440935317339812E-3</v>
      </c>
      <c r="D358" s="2">
        <v>26.6666666666666</v>
      </c>
      <c r="E358" s="2">
        <v>321</v>
      </c>
      <c r="F358" s="301">
        <v>3.0533625035670121E-2</v>
      </c>
      <c r="G358" s="14">
        <v>92.727272727272705</v>
      </c>
      <c r="H358" s="2">
        <v>145</v>
      </c>
      <c r="I358" s="301">
        <v>1.9418775947502343E-2</v>
      </c>
      <c r="J358" s="14">
        <v>68.484849999999994</v>
      </c>
      <c r="K358" s="301">
        <v>3.0277777777777777</v>
      </c>
      <c r="L358" s="2">
        <v>181</v>
      </c>
      <c r="M358" s="301">
        <v>6.6634760519824763E-3</v>
      </c>
      <c r="N358" s="2">
        <v>59.393939393939398</v>
      </c>
      <c r="O358" s="2">
        <v>565</v>
      </c>
      <c r="P358" s="301">
        <v>2.0054662265289461E-2</v>
      </c>
      <c r="Q358" s="14">
        <v>121.212121212121</v>
      </c>
      <c r="R358" s="2">
        <v>248</v>
      </c>
      <c r="S358" s="301">
        <v>1.0645147443876894E-2</v>
      </c>
      <c r="T358" s="14">
        <v>86.666664100000006</v>
      </c>
      <c r="U358" s="301">
        <v>0.37016574585635359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1828</v>
      </c>
      <c r="B359" s="2">
        <v>12</v>
      </c>
      <c r="C359" s="301">
        <v>1.2146978439113271E-3</v>
      </c>
      <c r="D359" s="2">
        <v>11.5151515151515</v>
      </c>
      <c r="E359" s="2">
        <v>49</v>
      </c>
      <c r="F359" s="301">
        <v>4.6608960334823552E-3</v>
      </c>
      <c r="G359" s="14">
        <v>23.636363636363601</v>
      </c>
      <c r="H359" s="2">
        <v>0</v>
      </c>
      <c r="I359" s="301">
        <v>0</v>
      </c>
      <c r="J359" s="14">
        <v>18.787877999999999</v>
      </c>
      <c r="K359" s="301">
        <v>-1</v>
      </c>
      <c r="L359" s="2">
        <v>12</v>
      </c>
      <c r="M359" s="301">
        <v>4.4177741781099291E-4</v>
      </c>
      <c r="N359" s="2">
        <v>11.5151515151515</v>
      </c>
      <c r="O359" s="2">
        <v>105</v>
      </c>
      <c r="P359" s="301">
        <v>3.7269726333723778E-3</v>
      </c>
      <c r="Q359" s="14">
        <v>53.3333333333333</v>
      </c>
      <c r="R359" s="2">
        <v>23</v>
      </c>
      <c r="S359" s="301">
        <v>9.8725157745632492E-4</v>
      </c>
      <c r="T359" s="14">
        <v>16.363636</v>
      </c>
      <c r="U359" s="301">
        <v>0.91666666666666663</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1829</v>
      </c>
      <c r="B360" s="2">
        <v>0</v>
      </c>
      <c r="C360" s="301">
        <v>0</v>
      </c>
      <c r="D360" s="2">
        <v>80</v>
      </c>
      <c r="E360" s="2">
        <v>102</v>
      </c>
      <c r="F360" s="301">
        <v>9.7022733758204121E-3</v>
      </c>
      <c r="G360" s="14">
        <v>52.727272727272698</v>
      </c>
      <c r="H360" s="2">
        <v>37</v>
      </c>
      <c r="I360" s="301">
        <v>4.9551359314316326E-3</v>
      </c>
      <c r="J360" s="14">
        <v>21.212122000000001</v>
      </c>
      <c r="L360" s="2">
        <v>41</v>
      </c>
      <c r="M360" s="301">
        <v>1.5094061775208923E-3</v>
      </c>
      <c r="N360" s="2">
        <v>24.848484848484802</v>
      </c>
      <c r="O360" s="2">
        <v>102</v>
      </c>
      <c r="P360" s="301">
        <v>3.62048770099031E-3</v>
      </c>
      <c r="Q360" s="14">
        <v>52.727272727272698</v>
      </c>
      <c r="R360" s="2">
        <v>37</v>
      </c>
      <c r="S360" s="301">
        <v>1.5881873202558269E-3</v>
      </c>
      <c r="T360" s="14">
        <v>21.212122000000001</v>
      </c>
      <c r="U360" s="301">
        <v>-9.7560975609756101E-2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1830</v>
      </c>
      <c r="B361" s="2">
        <v>24</v>
      </c>
      <c r="C361" s="301">
        <v>2.4293956878226543E-3</v>
      </c>
      <c r="D361" s="2">
        <v>23.030303030302999</v>
      </c>
      <c r="E361" s="2">
        <v>170</v>
      </c>
      <c r="F361" s="301">
        <v>1.6170455626367354E-2</v>
      </c>
      <c r="G361" s="14">
        <v>64.848484848484802</v>
      </c>
      <c r="H361" s="2">
        <v>108</v>
      </c>
      <c r="I361" s="301">
        <v>1.4463640016070711E-2</v>
      </c>
      <c r="J361" s="14">
        <v>64.242424</v>
      </c>
      <c r="K361" s="301">
        <v>3.5</v>
      </c>
      <c r="L361" s="2">
        <v>128</v>
      </c>
      <c r="M361" s="301">
        <v>4.7122924566505905E-3</v>
      </c>
      <c r="N361" s="2">
        <v>53.3333333333333</v>
      </c>
      <c r="O361" s="2">
        <v>358</v>
      </c>
      <c r="P361" s="301">
        <v>1.2707201930926774E-2</v>
      </c>
      <c r="Q361" s="14">
        <v>91.515151515151501</v>
      </c>
      <c r="R361" s="2">
        <v>188</v>
      </c>
      <c r="S361" s="301">
        <v>8.069708546164742E-3</v>
      </c>
      <c r="T361" s="14">
        <v>81.818183899999994</v>
      </c>
      <c r="U361" s="301">
        <v>0.46875</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1831</v>
      </c>
      <c r="B362" s="2">
        <v>0</v>
      </c>
      <c r="C362" s="301">
        <v>0</v>
      </c>
      <c r="D362" s="2">
        <v>80</v>
      </c>
      <c r="E362" s="2">
        <v>19</v>
      </c>
      <c r="F362" s="301">
        <v>1.8072862170645868E-3</v>
      </c>
      <c r="G362" s="14">
        <v>18.181818181818102</v>
      </c>
      <c r="H362" s="2">
        <v>22</v>
      </c>
      <c r="I362" s="301">
        <v>2.9462970403107006E-3</v>
      </c>
      <c r="J362" s="14">
        <v>16.363636</v>
      </c>
      <c r="L362" s="2">
        <v>10</v>
      </c>
      <c r="M362" s="301">
        <v>3.6814784817582741E-4</v>
      </c>
      <c r="N362" s="2">
        <v>9.0909090909090899</v>
      </c>
      <c r="O362" s="2">
        <v>94</v>
      </c>
      <c r="P362" s="301">
        <v>3.3365278813047954E-3</v>
      </c>
      <c r="Q362" s="14">
        <v>42.424242424242401</v>
      </c>
      <c r="R362" s="2">
        <v>56</v>
      </c>
      <c r="S362" s="301">
        <v>2.4037429711980082E-3</v>
      </c>
      <c r="T362" s="14">
        <v>29.090910000000001</v>
      </c>
      <c r="U362" s="301">
        <v>4.5999999999999996</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1771</v>
      </c>
      <c r="B363" s="2">
        <v>928</v>
      </c>
      <c r="C363" s="301">
        <v>9.3936633262475963E-2</v>
      </c>
      <c r="D363" s="2">
        <v>115.757575757575</v>
      </c>
      <c r="E363" s="2">
        <v>1377</v>
      </c>
      <c r="F363" s="301">
        <v>0.13098069057357559</v>
      </c>
      <c r="G363" s="14">
        <v>164.24242424242399</v>
      </c>
      <c r="H363" s="2">
        <v>416</v>
      </c>
      <c r="I363" s="301">
        <v>5.5711798580420517E-2</v>
      </c>
      <c r="J363" s="14">
        <v>97.575760000000002</v>
      </c>
      <c r="K363" s="301">
        <v>-0.55172413793103448</v>
      </c>
      <c r="L363" s="2">
        <v>1559</v>
      </c>
      <c r="M363" s="301">
        <v>5.7394249530611494E-2</v>
      </c>
      <c r="N363" s="2">
        <v>161.81818181818099</v>
      </c>
      <c r="O363" s="2">
        <v>2234</v>
      </c>
      <c r="P363" s="301">
        <v>7.9295779647179918E-2</v>
      </c>
      <c r="Q363" s="14">
        <v>232.12121212121201</v>
      </c>
      <c r="R363" s="2">
        <v>955</v>
      </c>
      <c r="S363" s="301">
        <v>4.099240245525175E-2</v>
      </c>
      <c r="T363" s="14">
        <v>160.606064</v>
      </c>
      <c r="U363" s="301">
        <v>-0.38742783835792177</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1827</v>
      </c>
      <c r="B364" s="2">
        <v>852</v>
      </c>
      <c r="C364" s="301">
        <v>8.6243546917704222E-2</v>
      </c>
      <c r="D364" s="2">
        <v>116.363636363636</v>
      </c>
      <c r="E364" s="2">
        <v>1304</v>
      </c>
      <c r="F364" s="301">
        <v>0.12403690668695901</v>
      </c>
      <c r="G364" s="14">
        <v>153.333333333333</v>
      </c>
      <c r="H364" s="2">
        <v>364</v>
      </c>
      <c r="I364" s="301">
        <v>4.8747823757867952E-2</v>
      </c>
      <c r="J364" s="14">
        <v>94.545455899999993</v>
      </c>
      <c r="K364" s="301">
        <v>-0.57276995305164324</v>
      </c>
      <c r="L364" s="2">
        <v>1432</v>
      </c>
      <c r="M364" s="301">
        <v>5.2718771858778483E-2</v>
      </c>
      <c r="N364" s="2">
        <v>161.21212121212099</v>
      </c>
      <c r="O364" s="2">
        <v>2073</v>
      </c>
      <c r="P364" s="301">
        <v>7.3581088276008941E-2</v>
      </c>
      <c r="Q364" s="14">
        <v>217.575757575757</v>
      </c>
      <c r="R364" s="2">
        <v>868</v>
      </c>
      <c r="S364" s="301">
        <v>3.7258016053569126E-2</v>
      </c>
      <c r="T364" s="14">
        <v>158.78787199999999</v>
      </c>
      <c r="U364" s="301">
        <v>-0.39385474860335196</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1828</v>
      </c>
      <c r="B365" s="2">
        <v>171</v>
      </c>
      <c r="C365" s="301">
        <v>1.730944427573641E-2</v>
      </c>
      <c r="D365" s="2">
        <v>52.727272727272698</v>
      </c>
      <c r="E365" s="2">
        <v>214</v>
      </c>
      <c r="F365" s="301">
        <v>2.0355750023780081E-2</v>
      </c>
      <c r="G365" s="14">
        <v>66.6666666666666</v>
      </c>
      <c r="H365" s="2">
        <v>66</v>
      </c>
      <c r="I365" s="301">
        <v>8.8388911209321009E-3</v>
      </c>
      <c r="J365" s="14">
        <v>33.939392099999999</v>
      </c>
      <c r="K365" s="301">
        <v>-0.61403508771929827</v>
      </c>
      <c r="L365" s="2">
        <v>326</v>
      </c>
      <c r="M365" s="301">
        <v>1.2001619850531973E-2</v>
      </c>
      <c r="N365" s="2">
        <v>81.818181818181799</v>
      </c>
      <c r="O365" s="2">
        <v>359</v>
      </c>
      <c r="P365" s="301">
        <v>1.2742696908387464E-2</v>
      </c>
      <c r="Q365" s="14">
        <v>96.363636363636402</v>
      </c>
      <c r="R365" s="2">
        <v>258</v>
      </c>
      <c r="S365" s="301">
        <v>1.1074387260162253E-2</v>
      </c>
      <c r="T365" s="14">
        <v>79.393936199999999</v>
      </c>
      <c r="U365" s="301">
        <v>-0.20858895705521471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1829</v>
      </c>
      <c r="B366" s="2">
        <v>327</v>
      </c>
      <c r="C366" s="301">
        <v>3.310051624658366E-2</v>
      </c>
      <c r="D366" s="2">
        <v>86.6666666666666</v>
      </c>
      <c r="E366" s="2">
        <v>513</v>
      </c>
      <c r="F366" s="301">
        <v>4.8796727860743842E-2</v>
      </c>
      <c r="G366" s="14">
        <v>96.363636363636402</v>
      </c>
      <c r="H366" s="2">
        <v>105</v>
      </c>
      <c r="I366" s="301">
        <v>1.4061872237846525E-2</v>
      </c>
      <c r="J366" s="14">
        <v>43.030304000000001</v>
      </c>
      <c r="K366" s="301">
        <v>-0.67889908256880738</v>
      </c>
      <c r="L366" s="2">
        <v>527</v>
      </c>
      <c r="M366" s="301">
        <v>1.9401391598866103E-2</v>
      </c>
      <c r="N366" s="2">
        <v>117.575757575757</v>
      </c>
      <c r="O366" s="2">
        <v>671</v>
      </c>
      <c r="P366" s="301">
        <v>2.3817129876122528E-2</v>
      </c>
      <c r="Q366" s="14">
        <v>104.24242424242399</v>
      </c>
      <c r="R366" s="2">
        <v>181</v>
      </c>
      <c r="S366" s="301">
        <v>7.7692406747649915E-3</v>
      </c>
      <c r="T366" s="14">
        <v>59.393940000000001</v>
      </c>
      <c r="U366" s="301">
        <v>-0.65654648956356731</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1830</v>
      </c>
      <c r="B367" s="2">
        <v>354</v>
      </c>
      <c r="C367" s="301">
        <v>3.583358639538415E-2</v>
      </c>
      <c r="D367" s="2">
        <v>83.636363636363598</v>
      </c>
      <c r="E367" s="2">
        <v>577</v>
      </c>
      <c r="F367" s="301">
        <v>5.4884428802435083E-2</v>
      </c>
      <c r="G367" s="14">
        <v>107.272727272727</v>
      </c>
      <c r="H367" s="2">
        <v>193</v>
      </c>
      <c r="I367" s="301">
        <v>2.5847060399089326E-2</v>
      </c>
      <c r="J367" s="14">
        <v>75.151510000000002</v>
      </c>
      <c r="K367" s="301">
        <v>-0.45480225988700562</v>
      </c>
      <c r="L367" s="2">
        <v>579</v>
      </c>
      <c r="M367" s="301">
        <v>2.1315760409380408E-2</v>
      </c>
      <c r="N367" s="2">
        <v>102.424242424242</v>
      </c>
      <c r="O367" s="2">
        <v>1043</v>
      </c>
      <c r="P367" s="301">
        <v>3.7021261491498952E-2</v>
      </c>
      <c r="Q367" s="14">
        <v>162.42424242424201</v>
      </c>
      <c r="R367" s="2">
        <v>429</v>
      </c>
      <c r="S367" s="301">
        <v>1.8414388118641885E-2</v>
      </c>
      <c r="T367" s="14">
        <v>110.909088</v>
      </c>
      <c r="U367" s="301">
        <v>-0.25906735751295334</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1831</v>
      </c>
      <c r="B368" s="2">
        <v>76</v>
      </c>
      <c r="C368" s="301">
        <v>7.6930863447717381E-3</v>
      </c>
      <c r="D368" s="2">
        <v>40</v>
      </c>
      <c r="E368" s="2">
        <v>73</v>
      </c>
      <c r="F368" s="301">
        <v>6.9437838866165703E-3</v>
      </c>
      <c r="G368" s="14">
        <v>36.969696969696898</v>
      </c>
      <c r="H368" s="2">
        <v>52</v>
      </c>
      <c r="I368" s="301">
        <v>6.9639748225525646E-3</v>
      </c>
      <c r="J368" s="14">
        <v>25.454546000000001</v>
      </c>
      <c r="K368" s="301">
        <v>-0.31578947368421051</v>
      </c>
      <c r="L368" s="2">
        <v>127</v>
      </c>
      <c r="M368" s="301">
        <v>4.6754776718330084E-3</v>
      </c>
      <c r="N368" s="2">
        <v>46.060606060605998</v>
      </c>
      <c r="O368" s="2">
        <v>161</v>
      </c>
      <c r="P368" s="301">
        <v>5.7146913711709794E-3</v>
      </c>
      <c r="Q368" s="14">
        <v>56.969696969696898</v>
      </c>
      <c r="R368" s="2">
        <v>87</v>
      </c>
      <c r="S368" s="301">
        <v>3.73438640168262E-3</v>
      </c>
      <c r="T368" s="14">
        <v>29.69697</v>
      </c>
      <c r="U368" s="301">
        <v>-0.31496062992125984</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1820</v>
      </c>
      <c r="B369" s="2">
        <v>7853</v>
      </c>
      <c r="C369" s="301">
        <v>0.79491851401963765</v>
      </c>
      <c r="D369" s="2">
        <v>230.90909090909</v>
      </c>
      <c r="E369" s="2">
        <v>7880</v>
      </c>
      <c r="F369" s="301">
        <v>0.74954817844573385</v>
      </c>
      <c r="G369" s="14">
        <v>320</v>
      </c>
      <c r="H369" s="2">
        <v>6212</v>
      </c>
      <c r="I369" s="301">
        <v>0.83192714610954865</v>
      </c>
      <c r="J369" s="14">
        <v>379.39395100000002</v>
      </c>
      <c r="K369" s="301">
        <v>-0.20896472685597861</v>
      </c>
      <c r="L369" s="2">
        <v>23465</v>
      </c>
      <c r="M369" s="301">
        <v>0.86385892574457901</v>
      </c>
      <c r="N369" s="2">
        <v>365.45454545454498</v>
      </c>
      <c r="O369" s="2">
        <v>22863</v>
      </c>
      <c r="P369" s="301">
        <v>0.81152166968373973</v>
      </c>
      <c r="Q369" s="14">
        <v>475.75757575757501</v>
      </c>
      <c r="R369" s="2">
        <v>20853</v>
      </c>
      <c r="S369" s="301">
        <v>0.89509378889985836</v>
      </c>
      <c r="T369" s="14">
        <v>521.81820000000005</v>
      </c>
      <c r="U369" s="301">
        <v>-0.11131472405710632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1768</v>
      </c>
      <c r="B370" s="2">
        <v>5691</v>
      </c>
      <c r="C370" s="301">
        <v>0.57607045247494681</v>
      </c>
      <c r="D370" s="2">
        <v>245.45454545454501</v>
      </c>
      <c r="E370" s="2">
        <v>5535</v>
      </c>
      <c r="F370" s="301">
        <v>0.52649101112907826</v>
      </c>
      <c r="G370" s="14">
        <v>300.60606060606</v>
      </c>
      <c r="H370" s="2">
        <v>4605</v>
      </c>
      <c r="I370" s="301">
        <v>0.61671353957412611</v>
      </c>
      <c r="J370" s="14">
        <v>347.878784</v>
      </c>
      <c r="K370" s="301">
        <v>-0.19082762256193991</v>
      </c>
      <c r="L370" s="2">
        <v>18882</v>
      </c>
      <c r="M370" s="301">
        <v>0.69513676692559734</v>
      </c>
      <c r="N370" s="2">
        <v>427.87878787878702</v>
      </c>
      <c r="O370" s="2">
        <v>18457</v>
      </c>
      <c r="P370" s="301">
        <v>0.6551307989919426</v>
      </c>
      <c r="Q370" s="14">
        <v>467.87878787878799</v>
      </c>
      <c r="R370" s="2">
        <v>16735</v>
      </c>
      <c r="S370" s="301">
        <v>0.71833283255354763</v>
      </c>
      <c r="T370" s="14">
        <v>458.78787199999999</v>
      </c>
      <c r="U370" s="301">
        <v>-0.11370617519330579</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1822</v>
      </c>
      <c r="B371" s="2">
        <v>3569</v>
      </c>
      <c r="C371" s="301">
        <v>0.36127138374329387</v>
      </c>
      <c r="D371" s="2">
        <v>230.30303030303</v>
      </c>
      <c r="E371" s="2">
        <v>3225</v>
      </c>
      <c r="F371" s="301">
        <v>0.3067630552649101</v>
      </c>
      <c r="G371" s="14">
        <v>224.24242424242399</v>
      </c>
      <c r="H371" s="2">
        <v>2541</v>
      </c>
      <c r="I371" s="301">
        <v>0.34029730815588588</v>
      </c>
      <c r="J371" s="14">
        <v>233.33332799999999</v>
      </c>
      <c r="K371" s="301">
        <v>-0.28803586438778367</v>
      </c>
      <c r="L371" s="2">
        <v>9083</v>
      </c>
      <c r="M371" s="301">
        <v>0.33438869049810405</v>
      </c>
      <c r="N371" s="2">
        <v>353.33333333333297</v>
      </c>
      <c r="O371" s="2">
        <v>8058</v>
      </c>
      <c r="P371" s="301">
        <v>0.28601852837823449</v>
      </c>
      <c r="Q371" s="14">
        <v>320.60606060606</v>
      </c>
      <c r="R371" s="2">
        <v>6728</v>
      </c>
      <c r="S371" s="301">
        <v>0.28879254839678931</v>
      </c>
      <c r="T371" s="14">
        <v>362.42425500000002</v>
      </c>
      <c r="U371" s="301">
        <v>-0.25927556974567872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1823</v>
      </c>
      <c r="B372" s="2">
        <v>522</v>
      </c>
      <c r="C372" s="301">
        <v>5.2839356210142727E-2</v>
      </c>
      <c r="D372" s="2">
        <v>112.121212121212</v>
      </c>
      <c r="E372" s="2">
        <v>411</v>
      </c>
      <c r="F372" s="301">
        <v>3.9094454484923429E-2</v>
      </c>
      <c r="G372" s="14">
        <v>105.454545454545</v>
      </c>
      <c r="H372" s="2">
        <v>342</v>
      </c>
      <c r="I372" s="301">
        <v>4.5801526717557252E-2</v>
      </c>
      <c r="J372" s="14">
        <v>93.333335899999994</v>
      </c>
      <c r="K372" s="301">
        <v>-0.34482758620689657</v>
      </c>
      <c r="L372" s="2">
        <v>1326</v>
      </c>
      <c r="M372" s="301">
        <v>4.8816404668114717E-2</v>
      </c>
      <c r="N372" s="2">
        <v>172.12121212121201</v>
      </c>
      <c r="O372" s="2">
        <v>1169</v>
      </c>
      <c r="P372" s="301">
        <v>4.1493628651545808E-2</v>
      </c>
      <c r="Q372" s="14">
        <v>152.72727272727201</v>
      </c>
      <c r="R372" s="2">
        <v>888</v>
      </c>
      <c r="S372" s="301">
        <v>3.8116495686139847E-2</v>
      </c>
      <c r="T372" s="14">
        <v>132.121216</v>
      </c>
      <c r="U372" s="301">
        <v>-0.33031674208144796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1824</v>
      </c>
      <c r="B373" s="2">
        <v>863</v>
      </c>
      <c r="C373" s="301">
        <v>8.735701994128961E-2</v>
      </c>
      <c r="D373" s="2">
        <v>118.787878787878</v>
      </c>
      <c r="E373" s="2">
        <v>960</v>
      </c>
      <c r="F373" s="301">
        <v>9.1315514125368591E-2</v>
      </c>
      <c r="G373" s="14">
        <v>143.636363636363</v>
      </c>
      <c r="H373" s="2">
        <v>646</v>
      </c>
      <c r="I373" s="301">
        <v>8.6513994910941472E-2</v>
      </c>
      <c r="J373" s="14">
        <v>144.84848</v>
      </c>
      <c r="K373" s="301">
        <v>-0.25144843568945541</v>
      </c>
      <c r="L373" s="2">
        <v>1894</v>
      </c>
      <c r="M373" s="301">
        <v>6.9727202444501715E-2</v>
      </c>
      <c r="N373" s="2">
        <v>170.30303030303</v>
      </c>
      <c r="O373" s="2">
        <v>1930</v>
      </c>
      <c r="P373" s="301">
        <v>6.8505306499130378E-2</v>
      </c>
      <c r="Q373" s="14">
        <v>187.87878787878699</v>
      </c>
      <c r="R373" s="2">
        <v>1614</v>
      </c>
      <c r="S373" s="301">
        <v>6.9279306348456887E-2</v>
      </c>
      <c r="T373" s="14">
        <v>216.363632</v>
      </c>
      <c r="U373" s="301">
        <v>-0.14783526927138332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1825</v>
      </c>
      <c r="B374" s="2">
        <v>2184</v>
      </c>
      <c r="C374" s="301">
        <v>0.22107500759186152</v>
      </c>
      <c r="D374" s="2">
        <v>187.272727272727</v>
      </c>
      <c r="E374" s="2">
        <v>1854</v>
      </c>
      <c r="F374" s="301">
        <v>0.1763530866546181</v>
      </c>
      <c r="G374" s="14">
        <v>183.030303030303</v>
      </c>
      <c r="H374" s="2">
        <v>1553</v>
      </c>
      <c r="I374" s="301">
        <v>0.20798178652738716</v>
      </c>
      <c r="J374" s="14">
        <v>195.15152</v>
      </c>
      <c r="K374" s="301">
        <v>-0.28891941391941389</v>
      </c>
      <c r="L374" s="2">
        <v>5863</v>
      </c>
      <c r="M374" s="301">
        <v>0.21584508338548761</v>
      </c>
      <c r="N374" s="2">
        <v>264.24242424242402</v>
      </c>
      <c r="O374" s="2">
        <v>4959</v>
      </c>
      <c r="P374" s="301">
        <v>0.17601959322755831</v>
      </c>
      <c r="Q374" s="14">
        <v>255.15151515151501</v>
      </c>
      <c r="R374" s="2">
        <v>4226</v>
      </c>
      <c r="S374" s="301">
        <v>0.18139674636219255</v>
      </c>
      <c r="T374" s="14">
        <v>289.09089999999998</v>
      </c>
      <c r="U374" s="301">
        <v>-0.27920859628176703</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1826</v>
      </c>
      <c r="B375" s="2">
        <v>2122</v>
      </c>
      <c r="C375" s="301">
        <v>0.214799068731653</v>
      </c>
      <c r="D375" s="2">
        <v>172.72727272727201</v>
      </c>
      <c r="E375" s="2">
        <v>2310</v>
      </c>
      <c r="F375" s="301">
        <v>0.21972795586416818</v>
      </c>
      <c r="G375" s="14">
        <v>195.15151515151501</v>
      </c>
      <c r="H375" s="2">
        <v>2064</v>
      </c>
      <c r="I375" s="301">
        <v>0.27641623141824023</v>
      </c>
      <c r="J375" s="14">
        <v>243.03030000000001</v>
      </c>
      <c r="K375" s="301">
        <v>-2.7332704995287466E-2</v>
      </c>
      <c r="L375" s="2">
        <v>9799</v>
      </c>
      <c r="M375" s="301">
        <v>0.36074807642749329</v>
      </c>
      <c r="N375" s="2">
        <v>320.60606060606</v>
      </c>
      <c r="O375" s="2">
        <v>10399</v>
      </c>
      <c r="P375" s="301">
        <v>0.36911227061370816</v>
      </c>
      <c r="Q375" s="14">
        <v>336.969696969697</v>
      </c>
      <c r="R375" s="2">
        <v>10007</v>
      </c>
      <c r="S375" s="301">
        <v>0.42954028415675838</v>
      </c>
      <c r="T375" s="14">
        <v>319.39395100000002</v>
      </c>
      <c r="U375" s="301">
        <v>2.1226655781202163E-2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1769</v>
      </c>
      <c r="B376" s="2">
        <v>2162</v>
      </c>
      <c r="C376" s="301">
        <v>0.21884806154469075</v>
      </c>
      <c r="D376" s="2">
        <v>179.39393939393901</v>
      </c>
      <c r="E376" s="2">
        <v>2345</v>
      </c>
      <c r="F376" s="301">
        <v>0.22305716731665556</v>
      </c>
      <c r="G376" s="14">
        <v>203.030303030303</v>
      </c>
      <c r="H376" s="2">
        <v>1607</v>
      </c>
      <c r="I376" s="301">
        <v>0.21521360653542251</v>
      </c>
      <c r="J376" s="14">
        <v>216.363632</v>
      </c>
      <c r="K376" s="301">
        <v>-0.2567067530064755</v>
      </c>
      <c r="L376" s="2">
        <v>4583</v>
      </c>
      <c r="M376" s="301">
        <v>0.1687221588189817</v>
      </c>
      <c r="N376" s="2">
        <v>266.666666666666</v>
      </c>
      <c r="O376" s="2">
        <v>4406</v>
      </c>
      <c r="P376" s="301">
        <v>0.15639087069179711</v>
      </c>
      <c r="Q376" s="14">
        <v>295.75757575757501</v>
      </c>
      <c r="R376" s="2">
        <v>4118</v>
      </c>
      <c r="S376" s="301">
        <v>0.17676095634631067</v>
      </c>
      <c r="T376" s="14">
        <v>332.121216</v>
      </c>
      <c r="U376" s="301">
        <v>-0.10146192450360027</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1770</v>
      </c>
      <c r="B377" s="2">
        <v>893</v>
      </c>
      <c r="C377" s="301">
        <v>9.0393764551067915E-2</v>
      </c>
      <c r="D377" s="2">
        <v>123.030303030303</v>
      </c>
      <c r="E377" s="2">
        <v>700</v>
      </c>
      <c r="F377" s="301">
        <v>6.6584229049747937E-2</v>
      </c>
      <c r="G377" s="14">
        <v>121.818181818181</v>
      </c>
      <c r="H377" s="2">
        <v>529</v>
      </c>
      <c r="I377" s="301">
        <v>7.0845051560198199E-2</v>
      </c>
      <c r="J377" s="14">
        <v>124.242424</v>
      </c>
      <c r="K377" s="301">
        <v>-0.40761478163493842</v>
      </c>
      <c r="L377" s="2">
        <v>1800</v>
      </c>
      <c r="M377" s="301">
        <v>6.6266612671648933E-2</v>
      </c>
      <c r="N377" s="2">
        <v>183.636363636363</v>
      </c>
      <c r="O377" s="2">
        <v>1500</v>
      </c>
      <c r="P377" s="301">
        <v>5.3242466191033969E-2</v>
      </c>
      <c r="Q377" s="14">
        <v>182.42424242424201</v>
      </c>
      <c r="R377" s="2">
        <v>1561</v>
      </c>
      <c r="S377" s="301">
        <v>6.7004335322144476E-2</v>
      </c>
      <c r="T377" s="14">
        <v>183.636368</v>
      </c>
      <c r="U377" s="301">
        <v>-0.13277777777777777</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1827</v>
      </c>
      <c r="B378" s="2">
        <v>507</v>
      </c>
      <c r="C378" s="301">
        <v>5.1320983905253567E-2</v>
      </c>
      <c r="D378" s="2">
        <v>98.787878787878796</v>
      </c>
      <c r="E378" s="2">
        <v>359</v>
      </c>
      <c r="F378" s="301">
        <v>3.4148197469799295E-2</v>
      </c>
      <c r="G378" s="2">
        <v>81.818181818181799</v>
      </c>
      <c r="H378" s="2">
        <v>363</v>
      </c>
      <c r="I378" s="301">
        <v>4.8613901165126559E-2</v>
      </c>
      <c r="J378" s="14">
        <v>112.727272</v>
      </c>
      <c r="K378" s="301">
        <v>-0.28402366863905326</v>
      </c>
      <c r="L378" s="2">
        <v>975</v>
      </c>
      <c r="M378" s="301">
        <v>3.5894415197143176E-2</v>
      </c>
      <c r="N378" s="2">
        <v>143.636363636363</v>
      </c>
      <c r="O378" s="2">
        <v>750</v>
      </c>
      <c r="P378" s="301">
        <v>2.6621233095516984E-2</v>
      </c>
      <c r="Q378" s="2">
        <v>113.333333333333</v>
      </c>
      <c r="R378" s="2">
        <v>940</v>
      </c>
      <c r="S378" s="301">
        <v>4.0348542730823708E-2</v>
      </c>
      <c r="T378" s="14">
        <v>152.121216</v>
      </c>
      <c r="U378" s="301">
        <v>-3.5897435897435895E-2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1828</v>
      </c>
      <c r="B379" s="2">
        <v>95</v>
      </c>
      <c r="C379" s="301">
        <v>9.6163579309646724E-3</v>
      </c>
      <c r="D379" s="2">
        <v>42.424242424242401</v>
      </c>
      <c r="E379" s="2">
        <v>27</v>
      </c>
      <c r="F379" s="301">
        <v>2.5682488347759918E-3</v>
      </c>
      <c r="G379" s="14">
        <v>18.7878787878787</v>
      </c>
      <c r="H379" s="2">
        <v>49</v>
      </c>
      <c r="I379" s="301">
        <v>6.5622070443283782E-3</v>
      </c>
      <c r="J379" s="14">
        <v>26.666665999999999</v>
      </c>
      <c r="K379" s="301">
        <v>-0.48421052631578948</v>
      </c>
      <c r="L379" s="2">
        <v>143</v>
      </c>
      <c r="M379" s="301">
        <v>5.2645142289143316E-3</v>
      </c>
      <c r="N379" s="2">
        <v>52.727272727272698</v>
      </c>
      <c r="O379" s="2">
        <v>112</v>
      </c>
      <c r="P379" s="301">
        <v>3.9754374755972032E-3</v>
      </c>
      <c r="Q379" s="14">
        <v>46.6666666666666</v>
      </c>
      <c r="R379" s="2">
        <v>134</v>
      </c>
      <c r="S379" s="301">
        <v>5.7518135382238055E-3</v>
      </c>
      <c r="T379" s="14">
        <v>40.606059999999999</v>
      </c>
      <c r="U379" s="301">
        <v>-6.2937062937062943E-2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1829</v>
      </c>
      <c r="B380" s="2">
        <v>75</v>
      </c>
      <c r="C380" s="301">
        <v>7.5918615244457942E-3</v>
      </c>
      <c r="D380" s="2">
        <v>39.393939393939398</v>
      </c>
      <c r="E380" s="2">
        <v>28</v>
      </c>
      <c r="F380" s="301">
        <v>2.6633691619899172E-3</v>
      </c>
      <c r="G380" s="14">
        <v>19.393939393939299</v>
      </c>
      <c r="H380" s="2">
        <v>34</v>
      </c>
      <c r="I380" s="301">
        <v>4.5533681532074462E-3</v>
      </c>
      <c r="J380" s="14">
        <v>27.878788</v>
      </c>
      <c r="K380" s="301">
        <v>-0.54666666666666663</v>
      </c>
      <c r="L380" s="2">
        <v>164</v>
      </c>
      <c r="M380" s="301">
        <v>6.0376247100835693E-3</v>
      </c>
      <c r="N380" s="2">
        <v>53.939393939393902</v>
      </c>
      <c r="O380" s="2">
        <v>114</v>
      </c>
      <c r="P380" s="301">
        <v>4.0464274305185817E-3</v>
      </c>
      <c r="Q380" s="14">
        <v>44.2424242424242</v>
      </c>
      <c r="R380" s="2">
        <v>185</v>
      </c>
      <c r="S380" s="301">
        <v>7.940936601279135E-3</v>
      </c>
      <c r="T380" s="14">
        <v>61.212119999999999</v>
      </c>
      <c r="U380" s="301">
        <v>0.12804878048780488</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1830</v>
      </c>
      <c r="B381" s="2">
        <v>337</v>
      </c>
      <c r="C381" s="301">
        <v>3.4112764449843104E-2</v>
      </c>
      <c r="D381" s="2">
        <v>80</v>
      </c>
      <c r="E381" s="2">
        <v>304</v>
      </c>
      <c r="F381" s="301">
        <v>2.8916579473033388E-2</v>
      </c>
      <c r="G381" s="14">
        <v>76.363636363636303</v>
      </c>
      <c r="H381" s="2">
        <v>280</v>
      </c>
      <c r="I381" s="301">
        <v>3.7498325967590736E-2</v>
      </c>
      <c r="J381" s="14">
        <v>98.787880000000001</v>
      </c>
      <c r="K381" s="301">
        <v>-0.16913946587537093</v>
      </c>
      <c r="L381" s="2">
        <v>668</v>
      </c>
      <c r="M381" s="301">
        <v>2.4592276258145272E-2</v>
      </c>
      <c r="N381" s="2">
        <v>126.06060606060601</v>
      </c>
      <c r="O381" s="2">
        <v>524</v>
      </c>
      <c r="P381" s="301">
        <v>1.8599368189401201E-2</v>
      </c>
      <c r="Q381" s="14">
        <v>107.272727272727</v>
      </c>
      <c r="R381" s="2">
        <v>621</v>
      </c>
      <c r="S381" s="301">
        <v>2.6655792591320771E-2</v>
      </c>
      <c r="T381" s="14">
        <v>123.63636</v>
      </c>
      <c r="U381" s="301">
        <v>-7.0359281437125748E-2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1831</v>
      </c>
      <c r="B382" s="2">
        <v>386</v>
      </c>
      <c r="C382" s="301">
        <v>3.9072780645814355E-2</v>
      </c>
      <c r="D382" s="2">
        <v>103.030303030303</v>
      </c>
      <c r="E382" s="2">
        <v>341</v>
      </c>
      <c r="F382" s="301">
        <v>3.2436031579948635E-2</v>
      </c>
      <c r="G382" s="14">
        <v>82.424242424242394</v>
      </c>
      <c r="H382" s="2">
        <v>166</v>
      </c>
      <c r="I382" s="301">
        <v>2.2231150395071647E-2</v>
      </c>
      <c r="J382" s="14">
        <v>66.060609999999997</v>
      </c>
      <c r="K382" s="301">
        <v>-0.56994818652849744</v>
      </c>
      <c r="L382" s="2">
        <v>825</v>
      </c>
      <c r="M382" s="301">
        <v>3.0372197474505761E-2</v>
      </c>
      <c r="N382" s="2">
        <v>140</v>
      </c>
      <c r="O382" s="2">
        <v>750</v>
      </c>
      <c r="P382" s="301">
        <v>2.6621233095516984E-2</v>
      </c>
      <c r="Q382" s="14">
        <v>116.363636363636</v>
      </c>
      <c r="R382" s="2">
        <v>621</v>
      </c>
      <c r="S382" s="301">
        <v>2.6655792591320771E-2</v>
      </c>
      <c r="T382" s="14">
        <v>124.242424</v>
      </c>
      <c r="U382" s="301">
        <v>-0.24727272727272728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1771</v>
      </c>
      <c r="B383" s="2">
        <v>1269</v>
      </c>
      <c r="C383" s="301">
        <v>0.12845429699362285</v>
      </c>
      <c r="D383" s="2">
        <v>139.39393939393901</v>
      </c>
      <c r="E383" s="2">
        <v>1645</v>
      </c>
      <c r="F383" s="301">
        <v>0.15647293826690764</v>
      </c>
      <c r="G383" s="14">
        <v>171.51515151515099</v>
      </c>
      <c r="H383" s="2">
        <v>1078</v>
      </c>
      <c r="I383" s="301">
        <v>0.14436855497522433</v>
      </c>
      <c r="J383" s="14">
        <v>166.060608</v>
      </c>
      <c r="K383" s="301">
        <v>-0.15051221434200157</v>
      </c>
      <c r="L383" s="2">
        <v>2783</v>
      </c>
      <c r="M383" s="301">
        <v>0.10245554614733277</v>
      </c>
      <c r="N383" s="2">
        <v>191.51515151515099</v>
      </c>
      <c r="O383" s="2">
        <v>2906</v>
      </c>
      <c r="P383" s="301">
        <v>0.10314840450076314</v>
      </c>
      <c r="Q383" s="14">
        <v>256.36363636363598</v>
      </c>
      <c r="R383" s="2">
        <v>2557</v>
      </c>
      <c r="S383" s="301">
        <v>0.1097566210241662</v>
      </c>
      <c r="T383" s="14">
        <v>241.81817599999999</v>
      </c>
      <c r="U383" s="301">
        <v>-8.1207330219187926E-2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1827</v>
      </c>
      <c r="B384" s="2">
        <v>973</v>
      </c>
      <c r="C384" s="301">
        <v>9.8491750177143442E-2</v>
      </c>
      <c r="D384" s="2">
        <v>121.212121212121</v>
      </c>
      <c r="E384" s="2">
        <v>1042</v>
      </c>
      <c r="F384" s="301">
        <v>9.9115380956910498E-2</v>
      </c>
      <c r="G384" s="14">
        <v>149.69696969696901</v>
      </c>
      <c r="H384" s="2">
        <v>606</v>
      </c>
      <c r="I384" s="301">
        <v>8.1157091201285655E-2</v>
      </c>
      <c r="J384" s="14">
        <v>130.30302399999999</v>
      </c>
      <c r="K384" s="301">
        <v>-0.37718396711202468</v>
      </c>
      <c r="L384" s="2">
        <v>1840</v>
      </c>
      <c r="M384" s="301">
        <v>6.7739204064352243E-2</v>
      </c>
      <c r="N384" s="2">
        <v>169.69696969696901</v>
      </c>
      <c r="O384" s="2">
        <v>1716</v>
      </c>
      <c r="P384" s="301">
        <v>6.0909381322542859E-2</v>
      </c>
      <c r="Q384" s="14">
        <v>212.12121212121201</v>
      </c>
      <c r="R384" s="2">
        <v>1310</v>
      </c>
      <c r="S384" s="301">
        <v>5.6230415933381982E-2</v>
      </c>
      <c r="T384" s="14">
        <v>201.21212800000001</v>
      </c>
      <c r="U384" s="301">
        <v>-0.28804347826086957</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1828</v>
      </c>
      <c r="B385" s="2">
        <v>263</v>
      </c>
      <c r="C385" s="301">
        <v>2.6622127745723253E-2</v>
      </c>
      <c r="D385" s="2">
        <v>83.636363636363598</v>
      </c>
      <c r="E385" s="2">
        <v>165</v>
      </c>
      <c r="F385" s="301">
        <v>1.5694853990297727E-2</v>
      </c>
      <c r="G385" s="14">
        <v>68.484848484848399</v>
      </c>
      <c r="H385" s="2">
        <v>67</v>
      </c>
      <c r="I385" s="301">
        <v>8.9728137136734967E-3</v>
      </c>
      <c r="J385" s="14">
        <v>30.30303</v>
      </c>
      <c r="K385" s="301">
        <v>-0.74524714828897343</v>
      </c>
      <c r="L385" s="2">
        <v>377</v>
      </c>
      <c r="M385" s="301">
        <v>1.3879173876228694E-2</v>
      </c>
      <c r="N385" s="2">
        <v>99.393939393939405</v>
      </c>
      <c r="O385" s="2">
        <v>250</v>
      </c>
      <c r="P385" s="301">
        <v>8.8737443651723275E-3</v>
      </c>
      <c r="Q385" s="14">
        <v>61.212121212121197</v>
      </c>
      <c r="R385" s="2">
        <v>165</v>
      </c>
      <c r="S385" s="301">
        <v>7.0824569687084173E-3</v>
      </c>
      <c r="T385" s="14">
        <v>52.727271999999999</v>
      </c>
      <c r="U385" s="301">
        <v>-0.56233421750663126</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1829</v>
      </c>
      <c r="B386" s="2">
        <v>208</v>
      </c>
      <c r="C386" s="301">
        <v>2.1054762627796337E-2</v>
      </c>
      <c r="D386" s="2">
        <v>76.969696969696898</v>
      </c>
      <c r="E386" s="2">
        <v>191</v>
      </c>
      <c r="F386" s="301">
        <v>1.8167982497859794E-2</v>
      </c>
      <c r="G386" s="14">
        <v>67.878787878787804</v>
      </c>
      <c r="H386" s="2">
        <v>147</v>
      </c>
      <c r="I386" s="301">
        <v>1.9686621132985135E-2</v>
      </c>
      <c r="J386" s="14">
        <v>66.666664100000006</v>
      </c>
      <c r="K386" s="301">
        <v>-0.29326923076923078</v>
      </c>
      <c r="L386" s="2">
        <v>342</v>
      </c>
      <c r="M386" s="301">
        <v>1.2590656407613298E-2</v>
      </c>
      <c r="N386" s="2">
        <v>84.242424242424207</v>
      </c>
      <c r="O386" s="2">
        <v>262</v>
      </c>
      <c r="P386" s="301">
        <v>9.2996840947006006E-3</v>
      </c>
      <c r="Q386" s="14">
        <v>84.848484848484802</v>
      </c>
      <c r="R386" s="2">
        <v>287</v>
      </c>
      <c r="S386" s="301">
        <v>1.2319182727389792E-2</v>
      </c>
      <c r="T386" s="14">
        <v>83.030304000000001</v>
      </c>
      <c r="U386" s="301">
        <v>-0.16081871345029239</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1830</v>
      </c>
      <c r="B387" s="2">
        <v>502</v>
      </c>
      <c r="C387" s="301">
        <v>5.0814859803623852E-2</v>
      </c>
      <c r="D387" s="2">
        <v>90.909090909090907</v>
      </c>
      <c r="E387" s="2">
        <v>686</v>
      </c>
      <c r="F387" s="301">
        <v>6.5252544468752977E-2</v>
      </c>
      <c r="G387" s="14">
        <v>131.51515151515099</v>
      </c>
      <c r="H387" s="2">
        <v>392</v>
      </c>
      <c r="I387" s="301">
        <v>5.2497656354627026E-2</v>
      </c>
      <c r="J387" s="14">
        <v>114.545456</v>
      </c>
      <c r="K387" s="301">
        <v>-0.21912350597609562</v>
      </c>
      <c r="L387" s="2">
        <v>1121</v>
      </c>
      <c r="M387" s="301">
        <v>4.1269373780510252E-2</v>
      </c>
      <c r="N387" s="2">
        <v>144.84848484848399</v>
      </c>
      <c r="O387" s="2">
        <v>1204</v>
      </c>
      <c r="P387" s="301">
        <v>4.2735952862669929E-2</v>
      </c>
      <c r="Q387" s="14">
        <v>177.575757575757</v>
      </c>
      <c r="R387" s="2">
        <v>858</v>
      </c>
      <c r="S387" s="301">
        <v>3.682877623728377E-2</v>
      </c>
      <c r="T387" s="14">
        <v>172.121216</v>
      </c>
      <c r="U387" s="301">
        <v>-0.23461195361284568</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1831</v>
      </c>
      <c r="B388" s="2">
        <v>296</v>
      </c>
      <c r="C388" s="301">
        <v>2.9962546816479401E-2</v>
      </c>
      <c r="D388" s="2">
        <v>63.030303030303003</v>
      </c>
      <c r="E388" s="2">
        <v>603</v>
      </c>
      <c r="F388" s="301">
        <v>5.7357557309997149E-2</v>
      </c>
      <c r="G388" s="14">
        <v>99.393939393939405</v>
      </c>
      <c r="H388" s="2">
        <v>472</v>
      </c>
      <c r="I388" s="301">
        <v>6.3211463773938659E-2</v>
      </c>
      <c r="J388" s="14">
        <v>121.21212</v>
      </c>
      <c r="K388" s="301">
        <v>0.59459459459459463</v>
      </c>
      <c r="L388" s="2">
        <v>943</v>
      </c>
      <c r="M388" s="301">
        <v>3.4716342082980522E-2</v>
      </c>
      <c r="N388" s="2">
        <v>115.757575757575</v>
      </c>
      <c r="O388" s="2">
        <v>1190</v>
      </c>
      <c r="P388" s="301">
        <v>4.2239023178220279E-2</v>
      </c>
      <c r="Q388" s="14">
        <v>161.81818181818099</v>
      </c>
      <c r="R388" s="2">
        <v>1247</v>
      </c>
      <c r="S388" s="301">
        <v>5.3526205090784221E-2</v>
      </c>
      <c r="T388" s="14">
        <v>194.545456</v>
      </c>
      <c r="U388" s="301">
        <v>0.32237539766702017</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1833</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1706</v>
      </c>
      <c r="C391" s="304"/>
      <c r="D391" s="304" t="s">
        <v>1707</v>
      </c>
      <c r="E391" s="304" t="s">
        <v>1706</v>
      </c>
      <c r="F391" s="304"/>
      <c r="G391" s="304" t="s">
        <v>1707</v>
      </c>
      <c r="H391" s="304" t="s">
        <v>1706</v>
      </c>
      <c r="I391" s="304"/>
      <c r="J391" s="304" t="s">
        <v>1707</v>
      </c>
      <c r="K391" t="s">
        <v>172</v>
      </c>
      <c r="L391" s="304" t="s">
        <v>1706</v>
      </c>
      <c r="M391" s="304"/>
      <c r="N391" s="304" t="s">
        <v>1707</v>
      </c>
      <c r="O391" s="304" t="s">
        <v>1706</v>
      </c>
      <c r="P391" s="304"/>
      <c r="Q391" s="304" t="s">
        <v>1707</v>
      </c>
      <c r="R391" s="304" t="s">
        <v>1706</v>
      </c>
      <c r="S391" s="304"/>
      <c r="T391" s="304" t="s">
        <v>1707</v>
      </c>
      <c r="U391" t="s">
        <v>172</v>
      </c>
      <c r="V391" s="207" t="s">
        <v>1706</v>
      </c>
      <c r="W391" s="207"/>
      <c r="X391" s="207" t="s">
        <v>1707</v>
      </c>
      <c r="Y391" s="207" t="s">
        <v>1706</v>
      </c>
      <c r="Z391" s="207"/>
      <c r="AA391" s="207" t="s">
        <v>1707</v>
      </c>
      <c r="AB391" s="207" t="s">
        <v>1706</v>
      </c>
      <c r="AC391" s="207"/>
      <c r="AD391" s="207" t="s">
        <v>1707</v>
      </c>
      <c r="AE391" t="s">
        <v>172</v>
      </c>
    </row>
    <row r="392" spans="1:31" x14ac:dyDescent="0.3">
      <c r="A392" t="s">
        <v>174</v>
      </c>
      <c r="B392" s="2">
        <v>596</v>
      </c>
      <c r="C392" t="s">
        <v>172</v>
      </c>
      <c r="D392" s="2">
        <v>116.969696969697</v>
      </c>
      <c r="E392" s="2">
        <v>561</v>
      </c>
      <c r="F392" t="s">
        <v>172</v>
      </c>
      <c r="G392" s="2">
        <v>114.54545454545401</v>
      </c>
      <c r="H392" s="2">
        <v>904</v>
      </c>
      <c r="I392" t="s">
        <v>172</v>
      </c>
      <c r="J392" s="14">
        <v>265.45455900000002</v>
      </c>
      <c r="K392" s="301">
        <v>0.51677852348993292</v>
      </c>
      <c r="L392" s="2">
        <v>1032</v>
      </c>
      <c r="M392" t="s">
        <v>172</v>
      </c>
      <c r="N392" s="2">
        <v>117.575757575757</v>
      </c>
      <c r="O392" s="2">
        <v>939</v>
      </c>
      <c r="P392" t="s">
        <v>172</v>
      </c>
      <c r="Q392" s="2">
        <v>110.90909090909</v>
      </c>
      <c r="R392" s="2">
        <v>1014</v>
      </c>
      <c r="S392" t="s">
        <v>172</v>
      </c>
      <c r="T392" s="14">
        <v>258.18182400000001</v>
      </c>
      <c r="U392" s="301">
        <v>-1.7441860465116279E-2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1804</v>
      </c>
      <c r="B393" s="2">
        <v>154</v>
      </c>
      <c r="C393" s="301">
        <v>0.25838926174496646</v>
      </c>
      <c r="D393" s="2">
        <v>64.848484848484802</v>
      </c>
      <c r="E393" s="2">
        <v>205</v>
      </c>
      <c r="F393" s="301">
        <v>0.36541889483065954</v>
      </c>
      <c r="G393" s="14">
        <v>98.181818181818201</v>
      </c>
      <c r="H393" s="2">
        <v>199</v>
      </c>
      <c r="I393" s="301">
        <v>0.22013274336283187</v>
      </c>
      <c r="J393" s="14">
        <v>136.96969999999999</v>
      </c>
      <c r="K393" s="301">
        <v>0.29220779220779219</v>
      </c>
      <c r="L393" s="2">
        <v>171</v>
      </c>
      <c r="M393" s="301">
        <v>0.16569767441860464</v>
      </c>
      <c r="N393" s="2">
        <v>72.121212121212096</v>
      </c>
      <c r="O393" s="2">
        <v>299</v>
      </c>
      <c r="P393" s="301">
        <v>0.31842385516506921</v>
      </c>
      <c r="Q393" s="14">
        <v>111.515151515151</v>
      </c>
      <c r="R393" s="2">
        <v>199</v>
      </c>
      <c r="S393" s="301">
        <v>0.19625246548323472</v>
      </c>
      <c r="T393" s="14">
        <v>136.96969999999999</v>
      </c>
      <c r="U393" s="301">
        <v>0.16374269005847952</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1768</v>
      </c>
      <c r="B394" s="2">
        <v>16</v>
      </c>
      <c r="C394" s="301">
        <v>2.6845637583892617E-2</v>
      </c>
      <c r="D394" s="2">
        <v>13.3333333333333</v>
      </c>
      <c r="E394" s="2">
        <v>23</v>
      </c>
      <c r="F394" s="301">
        <v>4.0998217468805706E-2</v>
      </c>
      <c r="G394" s="14">
        <v>18.181818181818102</v>
      </c>
      <c r="H394" s="2">
        <v>20</v>
      </c>
      <c r="I394" s="301">
        <v>2.2123893805309734E-2</v>
      </c>
      <c r="J394" s="14">
        <v>14.545455</v>
      </c>
      <c r="K394" s="301">
        <v>0.25</v>
      </c>
      <c r="L394" s="2">
        <v>16</v>
      </c>
      <c r="M394" s="301">
        <v>1.5503875968992248E-2</v>
      </c>
      <c r="N394" s="2">
        <v>13.3333333333333</v>
      </c>
      <c r="O394" s="2">
        <v>23</v>
      </c>
      <c r="P394" s="301">
        <v>2.4494142705005325E-2</v>
      </c>
      <c r="Q394" s="14">
        <v>18.181818181818102</v>
      </c>
      <c r="R394" s="2">
        <v>20</v>
      </c>
      <c r="S394" s="301">
        <v>1.9723865877712032E-2</v>
      </c>
      <c r="T394" s="14">
        <v>14.545455</v>
      </c>
      <c r="U394" s="301">
        <v>0.25</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1822</v>
      </c>
      <c r="B395" s="2">
        <v>0</v>
      </c>
      <c r="C395" s="301">
        <v>0</v>
      </c>
      <c r="D395" s="2">
        <v>80</v>
      </c>
      <c r="E395" s="2">
        <v>13</v>
      </c>
      <c r="F395" s="301">
        <v>2.3172905525846704E-2</v>
      </c>
      <c r="G395" s="14">
        <v>16.363636363636299</v>
      </c>
      <c r="H395" s="2">
        <v>20</v>
      </c>
      <c r="I395" s="301">
        <v>2.2123893805309734E-2</v>
      </c>
      <c r="J395" s="14">
        <v>14.545455</v>
      </c>
      <c r="L395" s="2">
        <v>0</v>
      </c>
      <c r="M395" s="301">
        <v>0</v>
      </c>
      <c r="N395" s="2">
        <v>80</v>
      </c>
      <c r="O395" s="2">
        <v>13</v>
      </c>
      <c r="P395" s="301">
        <v>1.3844515441959531E-2</v>
      </c>
      <c r="Q395" s="14">
        <v>16.363636363636299</v>
      </c>
      <c r="R395" s="2">
        <v>20</v>
      </c>
      <c r="S395" s="301">
        <v>1.9723865877712032E-2</v>
      </c>
      <c r="T395" s="14">
        <v>14.545455</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1823</v>
      </c>
      <c r="B396" s="2">
        <v>0</v>
      </c>
      <c r="C396" s="301">
        <v>0</v>
      </c>
      <c r="D396" s="2">
        <v>80</v>
      </c>
      <c r="E396" s="2">
        <v>0</v>
      </c>
      <c r="F396" s="301">
        <v>0</v>
      </c>
      <c r="G396" s="2">
        <v>16.969696969696901</v>
      </c>
      <c r="H396" s="2">
        <v>7</v>
      </c>
      <c r="I396" s="301">
        <v>7.743362831858407E-3</v>
      </c>
      <c r="J396" s="14">
        <v>10.30303</v>
      </c>
      <c r="L396" s="2">
        <v>0</v>
      </c>
      <c r="M396" s="301">
        <v>0</v>
      </c>
      <c r="N396" s="2">
        <v>80</v>
      </c>
      <c r="O396" s="2">
        <v>0</v>
      </c>
      <c r="P396" s="301">
        <v>0</v>
      </c>
      <c r="Q396" s="2">
        <v>16.969696969696901</v>
      </c>
      <c r="R396" s="2">
        <v>7</v>
      </c>
      <c r="S396" s="301">
        <v>6.9033530571992107E-3</v>
      </c>
      <c r="T396" s="14">
        <v>10.30303</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1824</v>
      </c>
      <c r="B397" s="2">
        <v>0</v>
      </c>
      <c r="C397" s="301">
        <v>0</v>
      </c>
      <c r="D397" s="2">
        <v>80</v>
      </c>
      <c r="E397" s="2">
        <v>0</v>
      </c>
      <c r="F397" s="301">
        <v>0</v>
      </c>
      <c r="G397" s="14">
        <v>16.969696969696901</v>
      </c>
      <c r="H397" s="2">
        <v>13</v>
      </c>
      <c r="I397" s="301">
        <v>1.4380530973451327E-2</v>
      </c>
      <c r="J397" s="14">
        <v>10.30303</v>
      </c>
      <c r="L397" s="2">
        <v>0</v>
      </c>
      <c r="M397" s="301">
        <v>0</v>
      </c>
      <c r="N397" s="2">
        <v>80</v>
      </c>
      <c r="O397" s="2">
        <v>0</v>
      </c>
      <c r="P397" s="301">
        <v>0</v>
      </c>
      <c r="Q397" s="14">
        <v>16.969696969696901</v>
      </c>
      <c r="R397" s="2">
        <v>13</v>
      </c>
      <c r="S397" s="301">
        <v>1.282051282051282E-2</v>
      </c>
      <c r="T397" s="14">
        <v>10.30303</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1825</v>
      </c>
      <c r="B398" s="2">
        <v>0</v>
      </c>
      <c r="C398" s="301">
        <v>0</v>
      </c>
      <c r="D398" s="2">
        <v>80</v>
      </c>
      <c r="E398" s="2">
        <v>13</v>
      </c>
      <c r="F398" s="301">
        <v>2.3172905525846704E-2</v>
      </c>
      <c r="G398" s="14">
        <v>16.363636363636299</v>
      </c>
      <c r="H398" s="2">
        <v>0</v>
      </c>
      <c r="I398" s="301">
        <v>0</v>
      </c>
      <c r="J398" s="14">
        <v>18.787877999999999</v>
      </c>
      <c r="L398" s="2">
        <v>0</v>
      </c>
      <c r="M398" s="301">
        <v>0</v>
      </c>
      <c r="N398" s="2">
        <v>80</v>
      </c>
      <c r="O398" s="2">
        <v>13</v>
      </c>
      <c r="P398" s="301">
        <v>1.3844515441959531E-2</v>
      </c>
      <c r="Q398" s="14">
        <v>16.363636363636299</v>
      </c>
      <c r="R398" s="2">
        <v>0</v>
      </c>
      <c r="S398" s="301">
        <v>0</v>
      </c>
      <c r="T398" s="14">
        <v>18.787877999999999</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1826</v>
      </c>
      <c r="B399" s="2">
        <v>16</v>
      </c>
      <c r="C399" s="301">
        <v>2.6845637583892617E-2</v>
      </c>
      <c r="D399" s="2">
        <v>13.3333333333333</v>
      </c>
      <c r="E399" s="2">
        <v>10</v>
      </c>
      <c r="F399" s="301">
        <v>1.7825311942959002E-2</v>
      </c>
      <c r="G399" s="14">
        <v>10.909090909090899</v>
      </c>
      <c r="H399" s="2">
        <v>0</v>
      </c>
      <c r="I399" s="301">
        <v>0</v>
      </c>
      <c r="J399" s="14">
        <v>18.787877999999999</v>
      </c>
      <c r="K399" s="301">
        <v>-1</v>
      </c>
      <c r="L399" s="2">
        <v>16</v>
      </c>
      <c r="M399" s="301">
        <v>1.5503875968992248E-2</v>
      </c>
      <c r="N399" s="2">
        <v>13.3333333333333</v>
      </c>
      <c r="O399" s="2">
        <v>10</v>
      </c>
      <c r="P399" s="301">
        <v>1.0649627263045794E-2</v>
      </c>
      <c r="Q399" s="14">
        <v>10.909090909090899</v>
      </c>
      <c r="R399" s="2">
        <v>0</v>
      </c>
      <c r="S399" s="301">
        <v>0</v>
      </c>
      <c r="T399" s="14">
        <v>18.787877999999999</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1769</v>
      </c>
      <c r="B400" s="2">
        <v>138</v>
      </c>
      <c r="C400" s="301">
        <v>0.23154362416107382</v>
      </c>
      <c r="D400" s="2">
        <v>64.242424242424207</v>
      </c>
      <c r="E400" s="2">
        <v>182</v>
      </c>
      <c r="F400" s="301">
        <v>0.32442067736185382</v>
      </c>
      <c r="G400" s="14">
        <v>97.575757575757606</v>
      </c>
      <c r="H400" s="2">
        <v>179</v>
      </c>
      <c r="I400" s="301">
        <v>0.19800884955752213</v>
      </c>
      <c r="J400" s="14">
        <v>136.363632</v>
      </c>
      <c r="K400" s="301">
        <v>0.29710144927536231</v>
      </c>
      <c r="L400" s="2">
        <v>155</v>
      </c>
      <c r="M400" s="301">
        <v>0.15019379844961239</v>
      </c>
      <c r="N400" s="2">
        <v>71.515151515151501</v>
      </c>
      <c r="O400" s="2">
        <v>276</v>
      </c>
      <c r="P400" s="301">
        <v>0.29392971246006389</v>
      </c>
      <c r="Q400" s="14">
        <v>111.515151515151</v>
      </c>
      <c r="R400" s="2">
        <v>179</v>
      </c>
      <c r="S400" s="301">
        <v>0.1765285996055227</v>
      </c>
      <c r="T400" s="14">
        <v>136.363632</v>
      </c>
      <c r="U400" s="301">
        <v>0.15483870967741936</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1770</v>
      </c>
      <c r="B401" s="2">
        <v>41</v>
      </c>
      <c r="C401" s="301">
        <v>6.879194630872483E-2</v>
      </c>
      <c r="D401" s="2">
        <v>38.181818181818102</v>
      </c>
      <c r="E401" s="2">
        <v>0</v>
      </c>
      <c r="F401" s="301">
        <v>0</v>
      </c>
      <c r="G401" s="14">
        <v>16.969696969696901</v>
      </c>
      <c r="H401" s="2">
        <v>0</v>
      </c>
      <c r="I401" s="301">
        <v>0</v>
      </c>
      <c r="J401" s="14">
        <v>18.787877999999999</v>
      </c>
      <c r="K401" s="301">
        <v>-1</v>
      </c>
      <c r="L401" s="2">
        <v>58</v>
      </c>
      <c r="M401" s="301">
        <v>5.6201550387596902E-2</v>
      </c>
      <c r="N401" s="2">
        <v>43.030303030303003</v>
      </c>
      <c r="O401" s="2">
        <v>0</v>
      </c>
      <c r="P401" s="301">
        <v>0</v>
      </c>
      <c r="Q401" s="14">
        <v>16.969696969696901</v>
      </c>
      <c r="R401" s="2">
        <v>0</v>
      </c>
      <c r="S401" s="301">
        <v>0</v>
      </c>
      <c r="T401" s="14">
        <v>18.787877999999999</v>
      </c>
      <c r="U401" s="301">
        <v>-1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1827</v>
      </c>
      <c r="B402" s="2">
        <v>41</v>
      </c>
      <c r="C402" s="301">
        <v>6.879194630872483E-2</v>
      </c>
      <c r="D402" s="2">
        <v>38.181818181818102</v>
      </c>
      <c r="E402" s="2">
        <v>0</v>
      </c>
      <c r="F402" s="301">
        <v>0</v>
      </c>
      <c r="G402" s="14">
        <v>16.969696969696901</v>
      </c>
      <c r="H402" s="2">
        <v>0</v>
      </c>
      <c r="I402" s="301">
        <v>0</v>
      </c>
      <c r="J402" s="14">
        <v>18.787877999999999</v>
      </c>
      <c r="K402" s="301">
        <v>-1</v>
      </c>
      <c r="L402" s="2">
        <v>58</v>
      </c>
      <c r="M402" s="301">
        <v>5.6201550387596902E-2</v>
      </c>
      <c r="N402" s="2">
        <v>43.030303030303003</v>
      </c>
      <c r="O402" s="2">
        <v>0</v>
      </c>
      <c r="P402" s="301">
        <v>0</v>
      </c>
      <c r="Q402" s="14">
        <v>16.969696969696901</v>
      </c>
      <c r="R402" s="2">
        <v>0</v>
      </c>
      <c r="S402" s="301">
        <v>0</v>
      </c>
      <c r="T402" s="14">
        <v>18.787877999999999</v>
      </c>
      <c r="U402" s="301">
        <v>-1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1828</v>
      </c>
      <c r="B403" s="2">
        <v>0</v>
      </c>
      <c r="C403" s="301">
        <v>0</v>
      </c>
      <c r="D403" s="2">
        <v>80</v>
      </c>
      <c r="E403" s="2">
        <v>0</v>
      </c>
      <c r="F403" s="301">
        <v>0</v>
      </c>
      <c r="G403" s="14">
        <v>16.969696969696901</v>
      </c>
      <c r="H403" s="2">
        <v>0</v>
      </c>
      <c r="I403" s="301">
        <v>0</v>
      </c>
      <c r="J403" s="14">
        <v>18.787877999999999</v>
      </c>
      <c r="L403" s="2">
        <v>0</v>
      </c>
      <c r="M403" s="301">
        <v>0</v>
      </c>
      <c r="N403" s="2">
        <v>80</v>
      </c>
      <c r="O403" s="2">
        <v>0</v>
      </c>
      <c r="P403" s="301">
        <v>0</v>
      </c>
      <c r="Q403" s="14">
        <v>16.969696969696901</v>
      </c>
      <c r="R403" s="2">
        <v>0</v>
      </c>
      <c r="S403" s="301">
        <v>0</v>
      </c>
      <c r="T403" s="14">
        <v>18.787877999999999</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1829</v>
      </c>
      <c r="B404" s="2">
        <v>0</v>
      </c>
      <c r="C404" s="301">
        <v>0</v>
      </c>
      <c r="D404" s="2">
        <v>80</v>
      </c>
      <c r="E404" s="2">
        <v>0</v>
      </c>
      <c r="F404" s="301">
        <v>0</v>
      </c>
      <c r="G404" s="14">
        <v>16.969696969696901</v>
      </c>
      <c r="H404" s="2">
        <v>0</v>
      </c>
      <c r="I404" s="301">
        <v>0</v>
      </c>
      <c r="J404" s="14">
        <v>18.787877999999999</v>
      </c>
      <c r="L404" s="2">
        <v>0</v>
      </c>
      <c r="M404" s="301">
        <v>0</v>
      </c>
      <c r="N404" s="2">
        <v>80</v>
      </c>
      <c r="O404" s="2">
        <v>0</v>
      </c>
      <c r="P404" s="301">
        <v>0</v>
      </c>
      <c r="Q404" s="14">
        <v>16.969696969696901</v>
      </c>
      <c r="R404" s="2">
        <v>0</v>
      </c>
      <c r="S404" s="301">
        <v>0</v>
      </c>
      <c r="T404" s="14">
        <v>18.787877999999999</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1830</v>
      </c>
      <c r="B405" s="2">
        <v>41</v>
      </c>
      <c r="C405" s="301">
        <v>6.879194630872483E-2</v>
      </c>
      <c r="D405" s="2">
        <v>38.181818181818102</v>
      </c>
      <c r="E405" s="2">
        <v>0</v>
      </c>
      <c r="F405" s="301">
        <v>0</v>
      </c>
      <c r="G405" s="2">
        <v>16.969696969696901</v>
      </c>
      <c r="H405" s="2">
        <v>0</v>
      </c>
      <c r="I405" s="301">
        <v>0</v>
      </c>
      <c r="J405" s="14">
        <v>18.787877999999999</v>
      </c>
      <c r="K405" s="301">
        <v>-1</v>
      </c>
      <c r="L405" s="2">
        <v>58</v>
      </c>
      <c r="M405" s="301">
        <v>5.6201550387596902E-2</v>
      </c>
      <c r="N405" s="2">
        <v>43.030303030303003</v>
      </c>
      <c r="O405" s="2">
        <v>0</v>
      </c>
      <c r="P405" s="301">
        <v>0</v>
      </c>
      <c r="Q405" s="2">
        <v>16.969696969696901</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1831</v>
      </c>
      <c r="B406" s="2">
        <v>0</v>
      </c>
      <c r="C406" s="301">
        <v>0</v>
      </c>
      <c r="D406" s="2">
        <v>80</v>
      </c>
      <c r="E406" s="2">
        <v>0</v>
      </c>
      <c r="F406" s="301">
        <v>0</v>
      </c>
      <c r="G406" s="14">
        <v>16.969696969696901</v>
      </c>
      <c r="H406" s="2">
        <v>0</v>
      </c>
      <c r="I406" s="301">
        <v>0</v>
      </c>
      <c r="J406" s="14">
        <v>18.787877999999999</v>
      </c>
      <c r="L406" s="2">
        <v>0</v>
      </c>
      <c r="M406" s="301">
        <v>0</v>
      </c>
      <c r="N406" s="2">
        <v>80</v>
      </c>
      <c r="O406" s="2">
        <v>0</v>
      </c>
      <c r="P406" s="301">
        <v>0</v>
      </c>
      <c r="Q406" s="14">
        <v>16.969696969696901</v>
      </c>
      <c r="R406" s="2">
        <v>0</v>
      </c>
      <c r="S406" s="301">
        <v>0</v>
      </c>
      <c r="T406" s="14">
        <v>18.787877999999999</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1771</v>
      </c>
      <c r="B407" s="2">
        <v>97</v>
      </c>
      <c r="C407" s="301">
        <v>0.16275167785234898</v>
      </c>
      <c r="D407" s="2">
        <v>50.303030303030297</v>
      </c>
      <c r="E407" s="2">
        <v>182</v>
      </c>
      <c r="F407" s="301">
        <v>0.32442067736185382</v>
      </c>
      <c r="G407" s="14">
        <v>97.575757575757606</v>
      </c>
      <c r="H407" s="2">
        <v>179</v>
      </c>
      <c r="I407" s="301">
        <v>0.19800884955752213</v>
      </c>
      <c r="J407" s="14">
        <v>136.363632</v>
      </c>
      <c r="K407" s="301">
        <v>0.84536082474226804</v>
      </c>
      <c r="L407" s="2">
        <v>97</v>
      </c>
      <c r="M407" s="301">
        <v>9.3992248062015504E-2</v>
      </c>
      <c r="N407" s="2">
        <v>50.303030303030297</v>
      </c>
      <c r="O407" s="2">
        <v>276</v>
      </c>
      <c r="P407" s="301">
        <v>0.29392971246006389</v>
      </c>
      <c r="Q407" s="14">
        <v>111.515151515151</v>
      </c>
      <c r="R407" s="2">
        <v>179</v>
      </c>
      <c r="S407" s="301">
        <v>0.1765285996055227</v>
      </c>
      <c r="T407" s="14">
        <v>136.363632</v>
      </c>
      <c r="U407" s="301">
        <v>0.84536082474226804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1827</v>
      </c>
      <c r="B408" s="2">
        <v>97</v>
      </c>
      <c r="C408" s="301">
        <v>0.16275167785234898</v>
      </c>
      <c r="D408" s="2">
        <v>50.303030303030297</v>
      </c>
      <c r="E408" s="2">
        <v>182</v>
      </c>
      <c r="F408" s="301">
        <v>0.32442067736185382</v>
      </c>
      <c r="G408" s="14">
        <v>97.575757575757606</v>
      </c>
      <c r="H408" s="2">
        <v>179</v>
      </c>
      <c r="I408" s="301">
        <v>0.19800884955752213</v>
      </c>
      <c r="J408" s="14">
        <v>136.363632</v>
      </c>
      <c r="K408" s="301">
        <v>0.84536082474226804</v>
      </c>
      <c r="L408" s="2">
        <v>97</v>
      </c>
      <c r="M408" s="301">
        <v>9.3992248062015504E-2</v>
      </c>
      <c r="N408" s="2">
        <v>50.303030303030297</v>
      </c>
      <c r="O408" s="2">
        <v>276</v>
      </c>
      <c r="P408" s="301">
        <v>0.29392971246006389</v>
      </c>
      <c r="Q408" s="14">
        <v>111.515151515151</v>
      </c>
      <c r="R408" s="2">
        <v>179</v>
      </c>
      <c r="S408" s="301">
        <v>0.1765285996055227</v>
      </c>
      <c r="T408" s="14">
        <v>136.363632</v>
      </c>
      <c r="U408" s="301">
        <v>0.84536082474226804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1828</v>
      </c>
      <c r="B409" s="2">
        <v>34</v>
      </c>
      <c r="C409" s="301">
        <v>5.7046979865771813E-2</v>
      </c>
      <c r="D409" s="2">
        <v>37.5757575757575</v>
      </c>
      <c r="E409" s="2">
        <v>5</v>
      </c>
      <c r="F409" s="301">
        <v>8.9126559714795012E-3</v>
      </c>
      <c r="G409" s="14">
        <v>4.8484848484848397</v>
      </c>
      <c r="H409" s="2">
        <v>0</v>
      </c>
      <c r="I409" s="301">
        <v>0</v>
      </c>
      <c r="J409" s="14">
        <v>18.787877999999999</v>
      </c>
      <c r="K409" s="301">
        <v>-1</v>
      </c>
      <c r="L409" s="2">
        <v>34</v>
      </c>
      <c r="M409" s="301">
        <v>3.294573643410853E-2</v>
      </c>
      <c r="N409" s="2">
        <v>37.5757575757575</v>
      </c>
      <c r="O409" s="2">
        <v>56</v>
      </c>
      <c r="P409" s="301">
        <v>5.9637912673056445E-2</v>
      </c>
      <c r="Q409" s="14">
        <v>52.727272727272698</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1829</v>
      </c>
      <c r="B410" s="2">
        <v>0</v>
      </c>
      <c r="C410" s="301">
        <v>0</v>
      </c>
      <c r="D410" s="2">
        <v>80</v>
      </c>
      <c r="E410" s="2">
        <v>167</v>
      </c>
      <c r="F410" s="301">
        <v>0.29768270944741532</v>
      </c>
      <c r="G410" s="14">
        <v>94.545454545454504</v>
      </c>
      <c r="H410" s="2">
        <v>54</v>
      </c>
      <c r="I410" s="301">
        <v>5.9734513274336286E-2</v>
      </c>
      <c r="J410" s="14">
        <v>58.787880000000001</v>
      </c>
      <c r="L410" s="2">
        <v>0</v>
      </c>
      <c r="M410" s="301">
        <v>0</v>
      </c>
      <c r="N410" s="2">
        <v>80</v>
      </c>
      <c r="O410" s="2">
        <v>167</v>
      </c>
      <c r="P410" s="301">
        <v>0.17784877529286475</v>
      </c>
      <c r="Q410" s="14">
        <v>94.545454545454504</v>
      </c>
      <c r="R410" s="2">
        <v>54</v>
      </c>
      <c r="S410" s="301">
        <v>5.3254437869822487E-2</v>
      </c>
      <c r="T410" s="14">
        <v>58.787880000000001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1830</v>
      </c>
      <c r="B411" s="2">
        <v>63</v>
      </c>
      <c r="C411" s="301">
        <v>0.10570469798657718</v>
      </c>
      <c r="D411" s="2">
        <v>40</v>
      </c>
      <c r="E411" s="2">
        <v>10</v>
      </c>
      <c r="F411" s="301">
        <v>1.7825311942959002E-2</v>
      </c>
      <c r="G411" s="14">
        <v>12.7272727272727</v>
      </c>
      <c r="H411" s="2">
        <v>125</v>
      </c>
      <c r="I411" s="301">
        <v>0.13827433628318583</v>
      </c>
      <c r="J411" s="14">
        <v>127.878784</v>
      </c>
      <c r="K411" s="301">
        <v>0.98412698412698407</v>
      </c>
      <c r="L411" s="2">
        <v>63</v>
      </c>
      <c r="M411" s="301">
        <v>6.1046511627906974E-2</v>
      </c>
      <c r="N411" s="2">
        <v>40</v>
      </c>
      <c r="O411" s="2">
        <v>53</v>
      </c>
      <c r="P411" s="301">
        <v>5.6443024494142707E-2</v>
      </c>
      <c r="Q411" s="14">
        <v>41.212121212121197</v>
      </c>
      <c r="R411" s="2">
        <v>125</v>
      </c>
      <c r="S411" s="301">
        <v>0.1232741617357002</v>
      </c>
      <c r="T411" s="14">
        <v>127.878784</v>
      </c>
      <c r="U411" s="301">
        <v>0.98412698412698407</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1831</v>
      </c>
      <c r="B412" s="2">
        <v>0</v>
      </c>
      <c r="C412" s="301">
        <v>0</v>
      </c>
      <c r="D412" s="2">
        <v>80</v>
      </c>
      <c r="E412" s="2">
        <v>0</v>
      </c>
      <c r="F412" s="301">
        <v>0</v>
      </c>
      <c r="G412" s="14">
        <v>16.969696969696901</v>
      </c>
      <c r="H412" s="2">
        <v>0</v>
      </c>
      <c r="I412" s="301">
        <v>0</v>
      </c>
      <c r="J412" s="14">
        <v>18.787877999999999</v>
      </c>
      <c r="L412" s="2">
        <v>0</v>
      </c>
      <c r="M412" s="301">
        <v>0</v>
      </c>
      <c r="N412" s="2">
        <v>80</v>
      </c>
      <c r="O412" s="2">
        <v>0</v>
      </c>
      <c r="P412" s="301">
        <v>0</v>
      </c>
      <c r="Q412" s="14">
        <v>16.969696969696901</v>
      </c>
      <c r="R412" s="2">
        <v>0</v>
      </c>
      <c r="S412" s="301">
        <v>0</v>
      </c>
      <c r="T412" s="14">
        <v>18.787877999999999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1820</v>
      </c>
      <c r="B413" s="2">
        <v>442</v>
      </c>
      <c r="C413" s="301">
        <v>0.74161073825503354</v>
      </c>
      <c r="D413" s="2">
        <v>104.24242424242399</v>
      </c>
      <c r="E413" s="2">
        <v>356</v>
      </c>
      <c r="F413" s="301">
        <v>0.63458110516934041</v>
      </c>
      <c r="G413" s="14">
        <v>83.030303030303003</v>
      </c>
      <c r="H413" s="2">
        <v>705</v>
      </c>
      <c r="I413" s="301">
        <v>0.77986725663716816</v>
      </c>
      <c r="J413" s="14">
        <v>259.39395100000002</v>
      </c>
      <c r="K413" s="301">
        <v>0.59502262443438914</v>
      </c>
      <c r="L413" s="2">
        <v>861</v>
      </c>
      <c r="M413" s="301">
        <v>0.83430232558139539</v>
      </c>
      <c r="N413" s="2">
        <v>112.121212121212</v>
      </c>
      <c r="O413" s="2">
        <v>640</v>
      </c>
      <c r="P413" s="301">
        <v>0.68157614483493079</v>
      </c>
      <c r="Q413" s="14">
        <v>86.060606060606005</v>
      </c>
      <c r="R413" s="2">
        <v>815</v>
      </c>
      <c r="S413" s="301">
        <v>0.80374753451676528</v>
      </c>
      <c r="T413" s="14">
        <v>252.72728000000001</v>
      </c>
      <c r="U413" s="301">
        <v>-5.3426248548199766E-2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1768</v>
      </c>
      <c r="B414" s="2">
        <v>121</v>
      </c>
      <c r="C414" s="301">
        <v>0.20302013422818793</v>
      </c>
      <c r="D414" s="2">
        <v>49.696969696969703</v>
      </c>
      <c r="E414" s="2">
        <v>168</v>
      </c>
      <c r="F414" s="301">
        <v>0.29946524064171121</v>
      </c>
      <c r="G414" s="14">
        <v>61.818181818181799</v>
      </c>
      <c r="H414" s="2">
        <v>505</v>
      </c>
      <c r="I414" s="301">
        <v>0.5586283185840708</v>
      </c>
      <c r="J414" s="14">
        <v>224.84848</v>
      </c>
      <c r="K414" s="301">
        <v>3.1735537190082646</v>
      </c>
      <c r="L414" s="2">
        <v>389</v>
      </c>
      <c r="M414" s="301">
        <v>0.37693798449612403</v>
      </c>
      <c r="N414" s="2">
        <v>93.3333333333333</v>
      </c>
      <c r="O414" s="2">
        <v>383</v>
      </c>
      <c r="P414" s="301">
        <v>0.40788072417465387</v>
      </c>
      <c r="Q414" s="14">
        <v>63.030303030303003</v>
      </c>
      <c r="R414" s="2">
        <v>571</v>
      </c>
      <c r="S414" s="301">
        <v>0.56311637080867849</v>
      </c>
      <c r="T414" s="14">
        <v>220.606064</v>
      </c>
      <c r="U414" s="301">
        <v>0.46786632390745503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1822</v>
      </c>
      <c r="B415" s="2">
        <v>23</v>
      </c>
      <c r="C415" s="301">
        <v>3.8590604026845637E-2</v>
      </c>
      <c r="D415" s="2">
        <v>18.181818181818102</v>
      </c>
      <c r="E415" s="2">
        <v>57</v>
      </c>
      <c r="F415" s="301">
        <v>0.10160427807486631</v>
      </c>
      <c r="G415" s="14">
        <v>32.727272727272698</v>
      </c>
      <c r="H415" s="2">
        <v>108</v>
      </c>
      <c r="I415" s="301">
        <v>0.11946902654867257</v>
      </c>
      <c r="J415" s="14">
        <v>95.151510000000002</v>
      </c>
      <c r="K415" s="301">
        <v>3.6956521739130435</v>
      </c>
      <c r="L415" s="2">
        <v>147</v>
      </c>
      <c r="M415" s="301">
        <v>0.14244186046511628</v>
      </c>
      <c r="N415" s="2">
        <v>62.424242424242401</v>
      </c>
      <c r="O415" s="2">
        <v>82</v>
      </c>
      <c r="P415" s="301">
        <v>8.7326943556975511E-2</v>
      </c>
      <c r="Q415" s="14">
        <v>39.393939393939398</v>
      </c>
      <c r="R415" s="2">
        <v>123</v>
      </c>
      <c r="S415" s="301">
        <v>0.12130177514792899</v>
      </c>
      <c r="T415" s="14">
        <v>93.939390000000003</v>
      </c>
      <c r="U415" s="301">
        <v>-0.16326530612244897</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1823</v>
      </c>
      <c r="B416" s="2">
        <v>0</v>
      </c>
      <c r="C416" s="301">
        <v>0</v>
      </c>
      <c r="D416" s="2">
        <v>80</v>
      </c>
      <c r="E416" s="2">
        <v>0</v>
      </c>
      <c r="F416" s="301">
        <v>0</v>
      </c>
      <c r="G416" s="14">
        <v>16.969696969696901</v>
      </c>
      <c r="H416" s="2">
        <v>0</v>
      </c>
      <c r="I416" s="301">
        <v>0</v>
      </c>
      <c r="J416" s="14">
        <v>18.787877999999999</v>
      </c>
      <c r="L416" s="2">
        <v>43</v>
      </c>
      <c r="M416" s="301">
        <v>4.1666666666666664E-2</v>
      </c>
      <c r="N416" s="2">
        <v>30.303030303030301</v>
      </c>
      <c r="O416" s="2">
        <v>0</v>
      </c>
      <c r="P416" s="301">
        <v>0</v>
      </c>
      <c r="Q416" s="14">
        <v>16.969696969696901</v>
      </c>
      <c r="R416" s="2">
        <v>0</v>
      </c>
      <c r="S416" s="301">
        <v>0</v>
      </c>
      <c r="T416" s="14">
        <v>18.787877999999999</v>
      </c>
      <c r="U416" s="301">
        <v>-1</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1824</v>
      </c>
      <c r="B417" s="2">
        <v>0</v>
      </c>
      <c r="C417" s="301">
        <v>0</v>
      </c>
      <c r="D417" s="2">
        <v>80</v>
      </c>
      <c r="E417" s="2">
        <v>8</v>
      </c>
      <c r="F417" s="301">
        <v>1.4260249554367201E-2</v>
      </c>
      <c r="G417" s="14">
        <v>9.6969696969696901</v>
      </c>
      <c r="H417" s="2">
        <v>0</v>
      </c>
      <c r="I417" s="301">
        <v>0</v>
      </c>
      <c r="J417" s="14">
        <v>18.787877999999999</v>
      </c>
      <c r="L417" s="2">
        <v>58</v>
      </c>
      <c r="M417" s="301">
        <v>5.6201550387596902E-2</v>
      </c>
      <c r="N417" s="2">
        <v>39.393939393939398</v>
      </c>
      <c r="O417" s="2">
        <v>8</v>
      </c>
      <c r="P417" s="301">
        <v>8.5197018104366355E-3</v>
      </c>
      <c r="Q417" s="14">
        <v>9.6969696969696901</v>
      </c>
      <c r="R417" s="2">
        <v>0</v>
      </c>
      <c r="S417" s="301">
        <v>0</v>
      </c>
      <c r="T417" s="14">
        <v>18.787877999999999</v>
      </c>
      <c r="U417" s="301">
        <v>-1</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1825</v>
      </c>
      <c r="B418" s="2">
        <v>23</v>
      </c>
      <c r="C418" s="301">
        <v>3.8590604026845637E-2</v>
      </c>
      <c r="D418" s="2">
        <v>18.181818181818102</v>
      </c>
      <c r="E418" s="2">
        <v>49</v>
      </c>
      <c r="F418" s="301">
        <v>8.7344028520499106E-2</v>
      </c>
      <c r="G418" s="14">
        <v>31.515151515151501</v>
      </c>
      <c r="H418" s="2">
        <v>108</v>
      </c>
      <c r="I418" s="301">
        <v>0.11946902654867257</v>
      </c>
      <c r="J418" s="14">
        <v>95.151510000000002</v>
      </c>
      <c r="K418" s="301">
        <v>3.6956521739130435</v>
      </c>
      <c r="L418" s="2">
        <v>46</v>
      </c>
      <c r="M418" s="301">
        <v>4.4573643410852716E-2</v>
      </c>
      <c r="N418" s="2">
        <v>24.2424242424242</v>
      </c>
      <c r="O418" s="2">
        <v>74</v>
      </c>
      <c r="P418" s="301">
        <v>7.8807241746538872E-2</v>
      </c>
      <c r="Q418" s="14">
        <v>37.5757575757575</v>
      </c>
      <c r="R418" s="2">
        <v>123</v>
      </c>
      <c r="S418" s="301">
        <v>0.12130177514792899</v>
      </c>
      <c r="T418" s="14">
        <v>93.939390000000003</v>
      </c>
      <c r="U418" s="301">
        <v>1.673913043478261</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1826</v>
      </c>
      <c r="B419" s="2">
        <v>98</v>
      </c>
      <c r="C419" s="301">
        <v>0.16442953020134229</v>
      </c>
      <c r="D419" s="2">
        <v>44.2424242424242</v>
      </c>
      <c r="E419" s="2">
        <v>111</v>
      </c>
      <c r="F419" s="301">
        <v>0.19786096256684493</v>
      </c>
      <c r="G419" s="14">
        <v>50.909090909090899</v>
      </c>
      <c r="H419" s="2">
        <v>397</v>
      </c>
      <c r="I419" s="301">
        <v>0.43915929203539822</v>
      </c>
      <c r="J419" s="14">
        <v>228.484848</v>
      </c>
      <c r="K419" s="301">
        <v>3.0510204081632653</v>
      </c>
      <c r="L419" s="2">
        <v>242</v>
      </c>
      <c r="M419" s="301">
        <v>0.23449612403100775</v>
      </c>
      <c r="N419" s="2">
        <v>81.212121212121204</v>
      </c>
      <c r="O419" s="2">
        <v>301</v>
      </c>
      <c r="P419" s="301">
        <v>0.32055378061767836</v>
      </c>
      <c r="Q419" s="14">
        <v>46.060606060605998</v>
      </c>
      <c r="R419" s="2">
        <v>448</v>
      </c>
      <c r="S419" s="301">
        <v>0.44181459566074949</v>
      </c>
      <c r="T419" s="14">
        <v>228.484848</v>
      </c>
      <c r="U419" s="301">
        <v>0.85123966942148765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1769</v>
      </c>
      <c r="B420" s="2">
        <v>321</v>
      </c>
      <c r="C420" s="301">
        <v>0.53859060402684567</v>
      </c>
      <c r="D420" s="2">
        <v>108.484848484848</v>
      </c>
      <c r="E420" s="2">
        <v>188</v>
      </c>
      <c r="F420" s="301">
        <v>0.33511586452762926</v>
      </c>
      <c r="G420" s="14">
        <v>83.030303030303003</v>
      </c>
      <c r="H420" s="2">
        <v>200</v>
      </c>
      <c r="I420" s="301">
        <v>0.22123893805309736</v>
      </c>
      <c r="J420" s="14">
        <v>139.393936</v>
      </c>
      <c r="K420" s="301">
        <v>-0.37694704049844235</v>
      </c>
      <c r="L420" s="2">
        <v>472</v>
      </c>
      <c r="M420" s="301">
        <v>0.4573643410852713</v>
      </c>
      <c r="N420" s="2">
        <v>103.636363636363</v>
      </c>
      <c r="O420" s="2">
        <v>257</v>
      </c>
      <c r="P420" s="301">
        <v>0.27369542066027691</v>
      </c>
      <c r="Q420" s="14">
        <v>91.515151515151501</v>
      </c>
      <c r="R420" s="2">
        <v>244</v>
      </c>
      <c r="S420" s="301">
        <v>0.24063116370808679</v>
      </c>
      <c r="T420" s="14">
        <v>137.57576</v>
      </c>
      <c r="U420" s="301">
        <v>-0.48305084745762711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1770</v>
      </c>
      <c r="B421" s="2">
        <v>128</v>
      </c>
      <c r="C421" s="301">
        <v>0.21476510067114093</v>
      </c>
      <c r="D421" s="2">
        <v>52.727272727272698</v>
      </c>
      <c r="E421" s="2">
        <v>0</v>
      </c>
      <c r="F421" s="301">
        <v>0</v>
      </c>
      <c r="G421" s="14">
        <v>16.969696969696901</v>
      </c>
      <c r="H421" s="2">
        <v>14</v>
      </c>
      <c r="I421" s="301">
        <v>1.5486725663716814E-2</v>
      </c>
      <c r="J421" s="14">
        <v>15.757576</v>
      </c>
      <c r="K421" s="301">
        <v>-0.890625</v>
      </c>
      <c r="L421" s="2">
        <v>169</v>
      </c>
      <c r="M421" s="301">
        <v>0.16375968992248063</v>
      </c>
      <c r="N421" s="2">
        <v>59.393939393939398</v>
      </c>
      <c r="O421" s="2">
        <v>45</v>
      </c>
      <c r="P421" s="301">
        <v>4.7923322683706068E-2</v>
      </c>
      <c r="Q421" s="14">
        <v>36.969696969696898</v>
      </c>
      <c r="R421" s="2">
        <v>14</v>
      </c>
      <c r="S421" s="301">
        <v>1.3806706114398421E-2</v>
      </c>
      <c r="T421" s="14">
        <v>15.757576</v>
      </c>
      <c r="U421" s="301">
        <v>-0.91715976331360949</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1827</v>
      </c>
      <c r="B422" s="2">
        <v>61</v>
      </c>
      <c r="C422" s="301">
        <v>0.10234899328859061</v>
      </c>
      <c r="D422" s="2">
        <v>27.272727272727199</v>
      </c>
      <c r="E422" s="2">
        <v>0</v>
      </c>
      <c r="F422" s="301">
        <v>0</v>
      </c>
      <c r="G422" s="14">
        <v>16.969696969696901</v>
      </c>
      <c r="H422" s="2">
        <v>14</v>
      </c>
      <c r="I422" s="301">
        <v>1.5486725663716814E-2</v>
      </c>
      <c r="J422" s="14">
        <v>15.757576</v>
      </c>
      <c r="K422" s="301">
        <v>-0.77049180327868849</v>
      </c>
      <c r="L422" s="2">
        <v>70</v>
      </c>
      <c r="M422" s="301">
        <v>6.7829457364341081E-2</v>
      </c>
      <c r="N422" s="2">
        <v>29.696969696969699</v>
      </c>
      <c r="O422" s="2">
        <v>0</v>
      </c>
      <c r="P422" s="301">
        <v>0</v>
      </c>
      <c r="Q422" s="14">
        <v>16.969696969696901</v>
      </c>
      <c r="R422" s="2">
        <v>14</v>
      </c>
      <c r="S422" s="301">
        <v>1.3806706114398421E-2</v>
      </c>
      <c r="T422" s="14">
        <v>15.757576</v>
      </c>
      <c r="U422" s="301">
        <v>-0.8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1828</v>
      </c>
      <c r="B423" s="2">
        <v>13</v>
      </c>
      <c r="C423" s="301">
        <v>2.1812080536912751E-2</v>
      </c>
      <c r="D423" s="2">
        <v>13.3333333333333</v>
      </c>
      <c r="E423" s="2">
        <v>0</v>
      </c>
      <c r="F423" s="301">
        <v>0</v>
      </c>
      <c r="G423" s="14">
        <v>16.969696969696901</v>
      </c>
      <c r="H423" s="2">
        <v>0</v>
      </c>
      <c r="I423" s="301">
        <v>0</v>
      </c>
      <c r="J423" s="14">
        <v>18.787877999999999</v>
      </c>
      <c r="K423" s="301">
        <v>-1</v>
      </c>
      <c r="L423" s="2">
        <v>13</v>
      </c>
      <c r="M423" s="301">
        <v>1.2596899224806201E-2</v>
      </c>
      <c r="N423" s="2">
        <v>13.3333333333333</v>
      </c>
      <c r="O423" s="2">
        <v>0</v>
      </c>
      <c r="P423" s="301">
        <v>0</v>
      </c>
      <c r="Q423" s="14">
        <v>16.969696969696901</v>
      </c>
      <c r="R423" s="2">
        <v>0</v>
      </c>
      <c r="S423" s="301">
        <v>0</v>
      </c>
      <c r="T423" s="14">
        <v>18.787877999999999</v>
      </c>
      <c r="U423" s="301">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1829</v>
      </c>
      <c r="B424" s="2">
        <v>19</v>
      </c>
      <c r="C424" s="301">
        <v>3.1879194630872486E-2</v>
      </c>
      <c r="D424" s="2">
        <v>17.5757575757575</v>
      </c>
      <c r="E424" s="2">
        <v>0</v>
      </c>
      <c r="F424" s="301">
        <v>0</v>
      </c>
      <c r="G424" s="14">
        <v>16.969696969696901</v>
      </c>
      <c r="H424" s="2">
        <v>0</v>
      </c>
      <c r="I424" s="301">
        <v>0</v>
      </c>
      <c r="J424" s="14">
        <v>18.787877999999999</v>
      </c>
      <c r="K424" s="301">
        <v>-1</v>
      </c>
      <c r="L424" s="2">
        <v>19</v>
      </c>
      <c r="M424" s="301">
        <v>1.8410852713178296E-2</v>
      </c>
      <c r="N424" s="2">
        <v>17.5757575757575</v>
      </c>
      <c r="O424" s="2">
        <v>0</v>
      </c>
      <c r="P424" s="301">
        <v>0</v>
      </c>
      <c r="Q424" s="14">
        <v>16.969696969696901</v>
      </c>
      <c r="R424" s="2">
        <v>0</v>
      </c>
      <c r="S424" s="301">
        <v>0</v>
      </c>
      <c r="T424" s="14">
        <v>18.787877999999999</v>
      </c>
      <c r="U424" s="301">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1830</v>
      </c>
      <c r="B425" s="2">
        <v>29</v>
      </c>
      <c r="C425" s="301">
        <v>4.8657718120805368E-2</v>
      </c>
      <c r="D425" s="2">
        <v>18.7878787878787</v>
      </c>
      <c r="E425" s="2">
        <v>0</v>
      </c>
      <c r="F425" s="301">
        <v>0</v>
      </c>
      <c r="G425" s="14">
        <v>16.969696969696901</v>
      </c>
      <c r="H425" s="2">
        <v>14</v>
      </c>
      <c r="I425" s="301">
        <v>1.5486725663716814E-2</v>
      </c>
      <c r="J425" s="14">
        <v>15.757576</v>
      </c>
      <c r="K425" s="301">
        <v>-0.51724137931034486</v>
      </c>
      <c r="L425" s="2">
        <v>38</v>
      </c>
      <c r="M425" s="301">
        <v>3.6821705426356592E-2</v>
      </c>
      <c r="N425" s="2">
        <v>20.606060606060598</v>
      </c>
      <c r="O425" s="2">
        <v>0</v>
      </c>
      <c r="P425" s="301">
        <v>0</v>
      </c>
      <c r="Q425" s="14">
        <v>16.969696969696901</v>
      </c>
      <c r="R425" s="2">
        <v>14</v>
      </c>
      <c r="S425" s="301">
        <v>1.3806706114398421E-2</v>
      </c>
      <c r="T425" s="14">
        <v>15.757576</v>
      </c>
      <c r="U425" s="301">
        <v>-0.63157894736842102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1831</v>
      </c>
      <c r="B426" s="2">
        <v>67</v>
      </c>
      <c r="C426" s="301">
        <v>0.11241610738255034</v>
      </c>
      <c r="D426" s="2">
        <v>43.636363636363598</v>
      </c>
      <c r="E426" s="2">
        <v>0</v>
      </c>
      <c r="F426" s="301">
        <v>0</v>
      </c>
      <c r="G426" s="2">
        <v>16.969696969696901</v>
      </c>
      <c r="H426" s="2">
        <v>0</v>
      </c>
      <c r="I426" s="301">
        <v>0</v>
      </c>
      <c r="J426" s="14">
        <v>18.787877999999999</v>
      </c>
      <c r="K426" s="301">
        <v>-1</v>
      </c>
      <c r="L426" s="2">
        <v>99</v>
      </c>
      <c r="M426" s="301">
        <v>9.5930232558139539E-2</v>
      </c>
      <c r="N426" s="2">
        <v>50.303030303030297</v>
      </c>
      <c r="O426" s="2">
        <v>45</v>
      </c>
      <c r="P426" s="301">
        <v>4.7923322683706068E-2</v>
      </c>
      <c r="Q426" s="2">
        <v>36.969696969696898</v>
      </c>
      <c r="R426" s="2">
        <v>0</v>
      </c>
      <c r="S426" s="301">
        <v>0</v>
      </c>
      <c r="T426" s="14">
        <v>18.787877999999999</v>
      </c>
      <c r="U426" s="301">
        <v>-1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1771</v>
      </c>
      <c r="B427" s="2">
        <v>193</v>
      </c>
      <c r="C427" s="301">
        <v>0.3238255033557047</v>
      </c>
      <c r="D427" s="2">
        <v>96.363636363636402</v>
      </c>
      <c r="E427" s="2">
        <v>188</v>
      </c>
      <c r="F427" s="301">
        <v>0.33511586452762926</v>
      </c>
      <c r="G427" s="14">
        <v>83.030303030303003</v>
      </c>
      <c r="H427" s="2">
        <v>186</v>
      </c>
      <c r="I427" s="301">
        <v>0.20575221238938052</v>
      </c>
      <c r="J427" s="14">
        <v>144.84848</v>
      </c>
      <c r="K427" s="301">
        <v>-3.6269430051813469E-2</v>
      </c>
      <c r="L427" s="2">
        <v>303</v>
      </c>
      <c r="M427" s="301">
        <v>0.29360465116279072</v>
      </c>
      <c r="N427" s="2">
        <v>85.454545454545396</v>
      </c>
      <c r="O427" s="2">
        <v>212</v>
      </c>
      <c r="P427" s="301">
        <v>0.22577209797657083</v>
      </c>
      <c r="Q427" s="14">
        <v>83.636363636363598</v>
      </c>
      <c r="R427" s="2">
        <v>230</v>
      </c>
      <c r="S427" s="301">
        <v>0.22682445759368836</v>
      </c>
      <c r="T427" s="14">
        <v>143.03030000000001</v>
      </c>
      <c r="U427" s="301">
        <v>-0.24092409240924093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1827</v>
      </c>
      <c r="B428" s="2">
        <v>157</v>
      </c>
      <c r="C428" s="301">
        <v>0.26342281879194629</v>
      </c>
      <c r="D428" s="2">
        <v>95.151515151515099</v>
      </c>
      <c r="E428" s="2">
        <v>133</v>
      </c>
      <c r="F428" s="301">
        <v>0.23707664884135474</v>
      </c>
      <c r="G428" s="14">
        <v>72.727272727272705</v>
      </c>
      <c r="H428" s="2">
        <v>145</v>
      </c>
      <c r="I428" s="301">
        <v>0.16039823008849557</v>
      </c>
      <c r="J428" s="14">
        <v>138.18182400000001</v>
      </c>
      <c r="K428" s="301">
        <v>-7.6433121019108277E-2</v>
      </c>
      <c r="L428" s="2">
        <v>222</v>
      </c>
      <c r="M428" s="301">
        <v>0.21511627906976744</v>
      </c>
      <c r="N428" s="2">
        <v>82.424242424242394</v>
      </c>
      <c r="O428" s="2">
        <v>157</v>
      </c>
      <c r="P428" s="301">
        <v>0.16719914802981894</v>
      </c>
      <c r="Q428" s="14">
        <v>73.3333333333333</v>
      </c>
      <c r="R428" s="2">
        <v>145</v>
      </c>
      <c r="S428" s="301">
        <v>0.14299802761341224</v>
      </c>
      <c r="T428" s="14">
        <v>138.18182400000001</v>
      </c>
      <c r="U428" s="301">
        <v>-0.34684684684684686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1828</v>
      </c>
      <c r="B429" s="2">
        <v>0</v>
      </c>
      <c r="C429" s="301">
        <v>0</v>
      </c>
      <c r="D429" s="2">
        <v>80</v>
      </c>
      <c r="E429" s="2">
        <v>0</v>
      </c>
      <c r="F429" s="301">
        <v>0</v>
      </c>
      <c r="G429" s="14">
        <v>16.969696969696901</v>
      </c>
      <c r="H429" s="2">
        <v>13</v>
      </c>
      <c r="I429" s="301">
        <v>1.4380530973451327E-2</v>
      </c>
      <c r="J429" s="14">
        <v>12.121212</v>
      </c>
      <c r="L429" s="2">
        <v>0</v>
      </c>
      <c r="M429" s="301">
        <v>0</v>
      </c>
      <c r="N429" s="2">
        <v>80</v>
      </c>
      <c r="O429" s="2">
        <v>0</v>
      </c>
      <c r="P429" s="301">
        <v>0</v>
      </c>
      <c r="Q429" s="14">
        <v>16.969696969696901</v>
      </c>
      <c r="R429" s="2">
        <v>13</v>
      </c>
      <c r="S429" s="301">
        <v>1.282051282051282E-2</v>
      </c>
      <c r="T429" s="14">
        <v>12.121212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1829</v>
      </c>
      <c r="B430" s="2">
        <v>0</v>
      </c>
      <c r="C430" s="301">
        <v>0</v>
      </c>
      <c r="D430" s="2">
        <v>80</v>
      </c>
      <c r="E430" s="2">
        <v>0</v>
      </c>
      <c r="F430" s="301">
        <v>0</v>
      </c>
      <c r="G430" s="14">
        <v>16.969696969696901</v>
      </c>
      <c r="H430" s="2">
        <v>0</v>
      </c>
      <c r="I430" s="301">
        <v>0</v>
      </c>
      <c r="J430" s="14">
        <v>18.787877999999999</v>
      </c>
      <c r="L430" s="2">
        <v>0</v>
      </c>
      <c r="M430" s="301">
        <v>0</v>
      </c>
      <c r="N430" s="2">
        <v>80</v>
      </c>
      <c r="O430" s="2">
        <v>0</v>
      </c>
      <c r="P430" s="301">
        <v>0</v>
      </c>
      <c r="Q430" s="14">
        <v>16.969696969696901</v>
      </c>
      <c r="R430" s="2">
        <v>0</v>
      </c>
      <c r="S430" s="301">
        <v>0</v>
      </c>
      <c r="T430" s="14">
        <v>18.787877999999999</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1830</v>
      </c>
      <c r="B431" s="2">
        <v>157</v>
      </c>
      <c r="C431" s="301">
        <v>0.26342281879194629</v>
      </c>
      <c r="D431" s="2">
        <v>95.151515151515099</v>
      </c>
      <c r="E431" s="2">
        <v>133</v>
      </c>
      <c r="F431" s="301">
        <v>0.23707664884135474</v>
      </c>
      <c r="G431" s="2">
        <v>72.727272727272705</v>
      </c>
      <c r="H431" s="2">
        <v>132</v>
      </c>
      <c r="I431" s="301">
        <v>0.14601769911504425</v>
      </c>
      <c r="J431" s="14">
        <v>136.363632</v>
      </c>
      <c r="K431" s="301">
        <v>-0.15923566878980891</v>
      </c>
      <c r="L431" s="2">
        <v>222</v>
      </c>
      <c r="M431" s="301">
        <v>0.21511627906976744</v>
      </c>
      <c r="N431" s="2">
        <v>82.424242424242394</v>
      </c>
      <c r="O431" s="2">
        <v>157</v>
      </c>
      <c r="P431" s="301">
        <v>0.16719914802981894</v>
      </c>
      <c r="Q431" s="2">
        <v>73.3333333333333</v>
      </c>
      <c r="R431" s="2">
        <v>132</v>
      </c>
      <c r="S431" s="301">
        <v>0.13017751479289941</v>
      </c>
      <c r="T431" s="14">
        <v>136.363632</v>
      </c>
      <c r="U431" s="301">
        <v>-0.40540540540540543</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1831</v>
      </c>
      <c r="B432" s="2">
        <v>36</v>
      </c>
      <c r="C432" s="301">
        <v>6.0402684563758392E-2</v>
      </c>
      <c r="D432" s="2">
        <v>24.2424242424242</v>
      </c>
      <c r="E432" s="2">
        <v>55</v>
      </c>
      <c r="F432" s="301">
        <v>9.8039215686274508E-2</v>
      </c>
      <c r="G432" s="14">
        <v>41.818181818181799</v>
      </c>
      <c r="H432" s="2">
        <v>41</v>
      </c>
      <c r="I432" s="301">
        <v>4.5353982300884957E-2</v>
      </c>
      <c r="J432" s="14">
        <v>57.5757561</v>
      </c>
      <c r="K432" s="301">
        <v>0.1388888888888889</v>
      </c>
      <c r="L432" s="2">
        <v>81</v>
      </c>
      <c r="M432" s="301">
        <v>7.8488372093023256E-2</v>
      </c>
      <c r="N432" s="2">
        <v>40</v>
      </c>
      <c r="O432" s="2">
        <v>55</v>
      </c>
      <c r="P432" s="301">
        <v>5.8572949946751864E-2</v>
      </c>
      <c r="Q432" s="14">
        <v>41.818181818181799</v>
      </c>
      <c r="R432" s="2">
        <v>85</v>
      </c>
      <c r="S432" s="301">
        <v>8.3826429980276132E-2</v>
      </c>
      <c r="T432" s="14">
        <v>54.5454559</v>
      </c>
      <c r="U432" s="301">
        <v>4.9382716049382713E-2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1834</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1706</v>
      </c>
      <c r="C435" s="304"/>
      <c r="D435" s="304" t="s">
        <v>1707</v>
      </c>
      <c r="E435" s="304" t="s">
        <v>1706</v>
      </c>
      <c r="F435" s="304"/>
      <c r="G435" s="304" t="s">
        <v>1707</v>
      </c>
      <c r="H435" s="304" t="s">
        <v>1706</v>
      </c>
      <c r="I435" s="304"/>
      <c r="J435" s="304" t="s">
        <v>1707</v>
      </c>
      <c r="K435" t="s">
        <v>172</v>
      </c>
      <c r="L435" s="304" t="s">
        <v>1706</v>
      </c>
      <c r="M435" s="304"/>
      <c r="N435" s="304" t="s">
        <v>1707</v>
      </c>
      <c r="O435" s="304" t="s">
        <v>1706</v>
      </c>
      <c r="P435" s="304"/>
      <c r="Q435" s="304" t="s">
        <v>1707</v>
      </c>
      <c r="R435" s="304" t="s">
        <v>1706</v>
      </c>
      <c r="S435" s="304"/>
      <c r="T435" s="304" t="s">
        <v>1707</v>
      </c>
      <c r="U435" t="s">
        <v>172</v>
      </c>
      <c r="V435" s="207" t="s">
        <v>1706</v>
      </c>
      <c r="W435" s="207"/>
      <c r="X435" s="207" t="s">
        <v>1707</v>
      </c>
      <c r="Y435" s="207" t="s">
        <v>1706</v>
      </c>
      <c r="Z435" s="207"/>
      <c r="AA435" s="207" t="s">
        <v>1707</v>
      </c>
      <c r="AB435" s="207" t="s">
        <v>1706</v>
      </c>
      <c r="AC435" s="207"/>
      <c r="AD435" s="207" t="s">
        <v>1707</v>
      </c>
      <c r="AE435" t="s">
        <v>172</v>
      </c>
    </row>
    <row r="436" spans="1:31" x14ac:dyDescent="0.3">
      <c r="A436" t="s">
        <v>174</v>
      </c>
      <c r="B436" s="2">
        <v>168</v>
      </c>
      <c r="C436" t="s">
        <v>172</v>
      </c>
      <c r="D436" s="2">
        <v>61.212121212121197</v>
      </c>
      <c r="E436" s="2">
        <v>172</v>
      </c>
      <c r="F436" t="s">
        <v>172</v>
      </c>
      <c r="G436" s="14">
        <v>59.393939393939398</v>
      </c>
      <c r="H436" s="2">
        <v>109</v>
      </c>
      <c r="I436" t="s">
        <v>172</v>
      </c>
      <c r="J436" s="14">
        <v>47.272728000000001</v>
      </c>
      <c r="K436" s="301">
        <v>-0.35119047619047616</v>
      </c>
      <c r="L436" s="2">
        <v>559</v>
      </c>
      <c r="M436" t="s">
        <v>172</v>
      </c>
      <c r="N436" s="2">
        <v>104.24242424242399</v>
      </c>
      <c r="O436" s="2">
        <v>514</v>
      </c>
      <c r="P436" t="s">
        <v>172</v>
      </c>
      <c r="Q436" s="14">
        <v>91.515151515151501</v>
      </c>
      <c r="R436" s="2">
        <v>556</v>
      </c>
      <c r="S436" t="s">
        <v>172</v>
      </c>
      <c r="T436" s="14">
        <v>85.454544100000007</v>
      </c>
      <c r="U436" s="301">
        <v>-5.3667262969588547E-3</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1804</v>
      </c>
      <c r="B437" s="2">
        <v>67</v>
      </c>
      <c r="C437" s="301">
        <v>0.39880952380952384</v>
      </c>
      <c r="D437" s="2">
        <v>33.3333333333333</v>
      </c>
      <c r="E437" s="2">
        <v>76</v>
      </c>
      <c r="F437" s="301">
        <v>0.44186046511627908</v>
      </c>
      <c r="G437" s="14">
        <v>44.848484848484802</v>
      </c>
      <c r="H437" s="2">
        <v>12</v>
      </c>
      <c r="I437" s="301">
        <v>0.11009174311926606</v>
      </c>
      <c r="J437" s="14">
        <v>14.545455</v>
      </c>
      <c r="K437" s="301">
        <v>-0.82089552238805974</v>
      </c>
      <c r="L437" s="2">
        <v>127</v>
      </c>
      <c r="M437" s="301">
        <v>0.22719141323792486</v>
      </c>
      <c r="N437" s="2">
        <v>46.6666666666666</v>
      </c>
      <c r="O437" s="2">
        <v>164</v>
      </c>
      <c r="P437" s="301">
        <v>0.31906614785992216</v>
      </c>
      <c r="Q437" s="14">
        <v>58.181818181818201</v>
      </c>
      <c r="R437" s="2">
        <v>102</v>
      </c>
      <c r="S437" s="301">
        <v>0.18345323741007194</v>
      </c>
      <c r="T437" s="14">
        <v>33.3333321</v>
      </c>
      <c r="U437" s="301">
        <v>-0.19685039370078741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1768</v>
      </c>
      <c r="B438" s="2">
        <v>36</v>
      </c>
      <c r="C438" s="301">
        <v>0.21428571428571427</v>
      </c>
      <c r="D438" s="2">
        <v>26.060606060605998</v>
      </c>
      <c r="E438" s="2">
        <v>59</v>
      </c>
      <c r="F438" s="301">
        <v>0.34302325581395349</v>
      </c>
      <c r="G438" s="14">
        <v>42.424242424242401</v>
      </c>
      <c r="H438" s="2">
        <v>0</v>
      </c>
      <c r="I438" s="301">
        <v>0</v>
      </c>
      <c r="J438" s="14">
        <v>18.787877999999999</v>
      </c>
      <c r="K438" s="301">
        <v>-1</v>
      </c>
      <c r="L438" s="2">
        <v>52</v>
      </c>
      <c r="M438" s="301">
        <v>9.3023255813953487E-2</v>
      </c>
      <c r="N438" s="2">
        <v>27.272727272727199</v>
      </c>
      <c r="O438" s="2">
        <v>101</v>
      </c>
      <c r="P438" s="301">
        <v>0.19649805447470817</v>
      </c>
      <c r="Q438" s="14">
        <v>49.090909090909101</v>
      </c>
      <c r="R438" s="2">
        <v>59</v>
      </c>
      <c r="S438" s="301">
        <v>0.10611510791366907</v>
      </c>
      <c r="T438" s="14">
        <v>27.272728000000001</v>
      </c>
      <c r="U438" s="301">
        <v>0.13461538461538461</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1822</v>
      </c>
      <c r="B439" s="2">
        <v>36</v>
      </c>
      <c r="C439" s="301">
        <v>0.21428571428571427</v>
      </c>
      <c r="D439" s="2">
        <v>26.060606060605998</v>
      </c>
      <c r="E439" s="2">
        <v>44</v>
      </c>
      <c r="F439" s="301">
        <v>0.2558139534883721</v>
      </c>
      <c r="G439" s="14">
        <v>38.181818181818102</v>
      </c>
      <c r="H439" s="2">
        <v>0</v>
      </c>
      <c r="I439" s="301">
        <v>0</v>
      </c>
      <c r="J439" s="14">
        <v>18.787877999999999</v>
      </c>
      <c r="K439" s="301">
        <v>-1</v>
      </c>
      <c r="L439" s="2">
        <v>52</v>
      </c>
      <c r="M439" s="301">
        <v>9.3023255813953487E-2</v>
      </c>
      <c r="N439" s="2">
        <v>27.272727272727199</v>
      </c>
      <c r="O439" s="2">
        <v>65</v>
      </c>
      <c r="P439" s="301">
        <v>0.12645914396887159</v>
      </c>
      <c r="Q439" s="14">
        <v>42.424242424242401</v>
      </c>
      <c r="R439" s="2">
        <v>53</v>
      </c>
      <c r="S439" s="301">
        <v>9.5323741007194249E-2</v>
      </c>
      <c r="T439" s="14">
        <v>26.666665999999999</v>
      </c>
      <c r="U439" s="301">
        <v>1.9230769230769232E-2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1823</v>
      </c>
      <c r="B440" s="2">
        <v>0</v>
      </c>
      <c r="C440" s="301">
        <v>0</v>
      </c>
      <c r="D440" s="2">
        <v>80</v>
      </c>
      <c r="E440" s="2">
        <v>0</v>
      </c>
      <c r="F440" s="301">
        <v>0</v>
      </c>
      <c r="G440" s="14">
        <v>16.969696969696901</v>
      </c>
      <c r="H440" s="2">
        <v>0</v>
      </c>
      <c r="I440" s="301">
        <v>0</v>
      </c>
      <c r="J440" s="14">
        <v>18.787877999999999</v>
      </c>
      <c r="L440" s="2">
        <v>0</v>
      </c>
      <c r="M440" s="301">
        <v>0</v>
      </c>
      <c r="N440" s="2">
        <v>80</v>
      </c>
      <c r="O440" s="2">
        <v>21</v>
      </c>
      <c r="P440" s="301">
        <v>4.085603112840467E-2</v>
      </c>
      <c r="Q440" s="14">
        <v>15.757575757575699</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1824</v>
      </c>
      <c r="B441" s="2">
        <v>0</v>
      </c>
      <c r="C441" s="301">
        <v>0</v>
      </c>
      <c r="D441" s="2">
        <v>80</v>
      </c>
      <c r="E441" s="2">
        <v>0</v>
      </c>
      <c r="F441" s="301">
        <v>0</v>
      </c>
      <c r="G441" s="14">
        <v>16.969696969696901</v>
      </c>
      <c r="H441" s="2">
        <v>0</v>
      </c>
      <c r="I441" s="301">
        <v>0</v>
      </c>
      <c r="J441" s="14">
        <v>18.787877999999999</v>
      </c>
      <c r="L441" s="2">
        <v>16</v>
      </c>
      <c r="M441" s="301">
        <v>2.8622540250447227E-2</v>
      </c>
      <c r="N441" s="2">
        <v>16.969696969696901</v>
      </c>
      <c r="O441" s="2">
        <v>0</v>
      </c>
      <c r="P441" s="301">
        <v>0</v>
      </c>
      <c r="Q441" s="14">
        <v>16.969696969696901</v>
      </c>
      <c r="R441" s="2">
        <v>0</v>
      </c>
      <c r="S441" s="301">
        <v>0</v>
      </c>
      <c r="T441" s="14">
        <v>18.787877999999999</v>
      </c>
      <c r="U441" s="301">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1825</v>
      </c>
      <c r="B442" s="2">
        <v>36</v>
      </c>
      <c r="C442" s="301">
        <v>0.21428571428571427</v>
      </c>
      <c r="D442" s="2">
        <v>26.060606060605998</v>
      </c>
      <c r="E442" s="2">
        <v>44</v>
      </c>
      <c r="F442" s="301">
        <v>0.2558139534883721</v>
      </c>
      <c r="G442" s="14">
        <v>38.181818181818102</v>
      </c>
      <c r="H442" s="2">
        <v>0</v>
      </c>
      <c r="I442" s="301">
        <v>0</v>
      </c>
      <c r="J442" s="14">
        <v>18.787877999999999</v>
      </c>
      <c r="K442" s="301">
        <v>-1</v>
      </c>
      <c r="L442" s="2">
        <v>36</v>
      </c>
      <c r="M442" s="301">
        <v>6.4400715563506267E-2</v>
      </c>
      <c r="N442" s="2">
        <v>26.060606060605998</v>
      </c>
      <c r="O442" s="2">
        <v>44</v>
      </c>
      <c r="P442" s="301">
        <v>8.5603112840466927E-2</v>
      </c>
      <c r="Q442" s="14">
        <v>38.181818181818102</v>
      </c>
      <c r="R442" s="2">
        <v>53</v>
      </c>
      <c r="S442" s="301">
        <v>9.5323741007194249E-2</v>
      </c>
      <c r="T442" s="14">
        <v>26.666665999999999</v>
      </c>
      <c r="U442" s="301">
        <v>0.47222222222222221</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1826</v>
      </c>
      <c r="B443" s="2">
        <v>0</v>
      </c>
      <c r="C443" s="301">
        <v>0</v>
      </c>
      <c r="D443" s="2">
        <v>80</v>
      </c>
      <c r="E443" s="2">
        <v>15</v>
      </c>
      <c r="F443" s="301">
        <v>8.7209302325581398E-2</v>
      </c>
      <c r="G443" s="14">
        <v>15.757575757575699</v>
      </c>
      <c r="H443" s="2">
        <v>0</v>
      </c>
      <c r="I443" s="301">
        <v>0</v>
      </c>
      <c r="J443" s="14">
        <v>18.787877999999999</v>
      </c>
      <c r="L443" s="2">
        <v>0</v>
      </c>
      <c r="M443" s="301">
        <v>0</v>
      </c>
      <c r="N443" s="2">
        <v>80</v>
      </c>
      <c r="O443" s="2">
        <v>36</v>
      </c>
      <c r="P443" s="301">
        <v>7.0038910505836577E-2</v>
      </c>
      <c r="Q443" s="14">
        <v>21.2121212121212</v>
      </c>
      <c r="R443" s="2">
        <v>6</v>
      </c>
      <c r="S443" s="301">
        <v>1.0791366906474821E-2</v>
      </c>
      <c r="T443" s="14">
        <v>5.4545455</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1769</v>
      </c>
      <c r="B444" s="2">
        <v>31</v>
      </c>
      <c r="C444" s="301">
        <v>0.18452380952380953</v>
      </c>
      <c r="D444" s="2">
        <v>21.2121212121212</v>
      </c>
      <c r="E444" s="2">
        <v>17</v>
      </c>
      <c r="F444" s="301">
        <v>9.8837209302325577E-2</v>
      </c>
      <c r="G444" s="14">
        <v>12.1212121212121</v>
      </c>
      <c r="H444" s="2">
        <v>12</v>
      </c>
      <c r="I444" s="301">
        <v>0.11009174311926606</v>
      </c>
      <c r="J444" s="14">
        <v>14.545455</v>
      </c>
      <c r="K444" s="301">
        <v>-0.61290322580645162</v>
      </c>
      <c r="L444" s="2">
        <v>75</v>
      </c>
      <c r="M444" s="301">
        <v>0.13416815742397137</v>
      </c>
      <c r="N444" s="2">
        <v>38.181818181818102</v>
      </c>
      <c r="O444" s="2">
        <v>63</v>
      </c>
      <c r="P444" s="301">
        <v>0.122568093385214</v>
      </c>
      <c r="Q444" s="14">
        <v>35.151515151515099</v>
      </c>
      <c r="R444" s="2">
        <v>43</v>
      </c>
      <c r="S444" s="301">
        <v>7.7338129496402883E-2</v>
      </c>
      <c r="T444" s="14">
        <v>17.575758</v>
      </c>
      <c r="U444" s="301">
        <v>-0.42666666666666669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1770</v>
      </c>
      <c r="B445" s="2">
        <v>0</v>
      </c>
      <c r="C445" s="301">
        <v>0</v>
      </c>
      <c r="D445" s="2">
        <v>80</v>
      </c>
      <c r="E445" s="2">
        <v>0</v>
      </c>
      <c r="F445" s="301">
        <v>0</v>
      </c>
      <c r="G445" s="14">
        <v>16.969696969696901</v>
      </c>
      <c r="H445" s="2">
        <v>0</v>
      </c>
      <c r="I445" s="301">
        <v>0</v>
      </c>
      <c r="J445" s="14">
        <v>18.787877999999999</v>
      </c>
      <c r="L445" s="2">
        <v>24</v>
      </c>
      <c r="M445" s="301">
        <v>4.2933810375670838E-2</v>
      </c>
      <c r="N445" s="2">
        <v>24.2424242424242</v>
      </c>
      <c r="O445" s="2">
        <v>43</v>
      </c>
      <c r="P445" s="301">
        <v>8.3657587548638127E-2</v>
      </c>
      <c r="Q445" s="14">
        <v>32.121212121212103</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1827</v>
      </c>
      <c r="B446" s="2">
        <v>0</v>
      </c>
      <c r="C446" s="301">
        <v>0</v>
      </c>
      <c r="D446" s="2">
        <v>80</v>
      </c>
      <c r="E446" s="2">
        <v>0</v>
      </c>
      <c r="F446" s="301">
        <v>0</v>
      </c>
      <c r="G446" s="14">
        <v>16.969696969696901</v>
      </c>
      <c r="H446" s="2">
        <v>0</v>
      </c>
      <c r="I446" s="301">
        <v>0</v>
      </c>
      <c r="J446" s="14">
        <v>18.787877999999999</v>
      </c>
      <c r="L446" s="2">
        <v>0</v>
      </c>
      <c r="M446" s="301">
        <v>0</v>
      </c>
      <c r="N446" s="2">
        <v>80</v>
      </c>
      <c r="O446" s="2">
        <v>38</v>
      </c>
      <c r="P446" s="301">
        <v>7.3929961089494164E-2</v>
      </c>
      <c r="Q446" s="14">
        <v>30.909090909090899</v>
      </c>
      <c r="R446" s="2">
        <v>0</v>
      </c>
      <c r="S446" s="301">
        <v>0</v>
      </c>
      <c r="T446" s="14">
        <v>18.787877999999999</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1828</v>
      </c>
      <c r="B447" s="2">
        <v>0</v>
      </c>
      <c r="C447" s="301">
        <v>0</v>
      </c>
      <c r="D447" s="2">
        <v>80</v>
      </c>
      <c r="E447" s="2">
        <v>0</v>
      </c>
      <c r="F447" s="301">
        <v>0</v>
      </c>
      <c r="G447" s="14">
        <v>16.969696969696901</v>
      </c>
      <c r="H447" s="2">
        <v>0</v>
      </c>
      <c r="I447" s="301">
        <v>0</v>
      </c>
      <c r="J447" s="14">
        <v>18.787877999999999</v>
      </c>
      <c r="L447" s="2">
        <v>0</v>
      </c>
      <c r="M447" s="301">
        <v>0</v>
      </c>
      <c r="N447" s="2">
        <v>80</v>
      </c>
      <c r="O447" s="2">
        <v>36</v>
      </c>
      <c r="P447" s="301">
        <v>7.0038910505836577E-2</v>
      </c>
      <c r="Q447" s="14">
        <v>30.909090909090899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1829</v>
      </c>
      <c r="B448" s="2">
        <v>0</v>
      </c>
      <c r="C448" s="301">
        <v>0</v>
      </c>
      <c r="D448" s="2">
        <v>80</v>
      </c>
      <c r="E448" s="2">
        <v>0</v>
      </c>
      <c r="F448" s="301">
        <v>0</v>
      </c>
      <c r="G448" s="14">
        <v>16.969696969696901</v>
      </c>
      <c r="H448" s="2">
        <v>0</v>
      </c>
      <c r="I448" s="301">
        <v>0</v>
      </c>
      <c r="J448" s="14">
        <v>18.787877999999999</v>
      </c>
      <c r="L448" s="2">
        <v>0</v>
      </c>
      <c r="M448" s="301">
        <v>0</v>
      </c>
      <c r="N448" s="2">
        <v>80</v>
      </c>
      <c r="O448" s="2">
        <v>2</v>
      </c>
      <c r="P448" s="301">
        <v>3.8910505836575876E-3</v>
      </c>
      <c r="Q448" s="14">
        <v>2.4242424242424199</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1830</v>
      </c>
      <c r="B449" s="2">
        <v>0</v>
      </c>
      <c r="C449" s="301">
        <v>0</v>
      </c>
      <c r="D449" s="2">
        <v>80</v>
      </c>
      <c r="E449" s="2">
        <v>0</v>
      </c>
      <c r="F449" s="301">
        <v>0</v>
      </c>
      <c r="G449" s="14">
        <v>16.969696969696901</v>
      </c>
      <c r="H449" s="2">
        <v>0</v>
      </c>
      <c r="I449" s="301">
        <v>0</v>
      </c>
      <c r="J449" s="14">
        <v>18.787877999999999</v>
      </c>
      <c r="L449" s="2">
        <v>0</v>
      </c>
      <c r="M449" s="301">
        <v>0</v>
      </c>
      <c r="N449" s="2">
        <v>80</v>
      </c>
      <c r="O449" s="2">
        <v>0</v>
      </c>
      <c r="P449" s="301">
        <v>0</v>
      </c>
      <c r="Q449" s="14">
        <v>16.969696969696901</v>
      </c>
      <c r="R449" s="2">
        <v>0</v>
      </c>
      <c r="S449" s="301">
        <v>0</v>
      </c>
      <c r="T449" s="14">
        <v>18.787877999999999</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1831</v>
      </c>
      <c r="B450" s="2">
        <v>0</v>
      </c>
      <c r="C450" s="301">
        <v>0</v>
      </c>
      <c r="D450" s="2">
        <v>80</v>
      </c>
      <c r="E450" s="2">
        <v>0</v>
      </c>
      <c r="F450" s="301">
        <v>0</v>
      </c>
      <c r="G450" s="14">
        <v>16.969696969696901</v>
      </c>
      <c r="H450" s="2">
        <v>0</v>
      </c>
      <c r="I450" s="301">
        <v>0</v>
      </c>
      <c r="J450" s="14">
        <v>18.787877999999999</v>
      </c>
      <c r="L450" s="2">
        <v>24</v>
      </c>
      <c r="M450" s="301">
        <v>4.2933810375670838E-2</v>
      </c>
      <c r="N450" s="2">
        <v>24.2424242424242</v>
      </c>
      <c r="O450" s="2">
        <v>5</v>
      </c>
      <c r="P450" s="301">
        <v>9.727626459143969E-3</v>
      </c>
      <c r="Q450" s="14">
        <v>4.2424242424242404</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1771</v>
      </c>
      <c r="B451" s="2">
        <v>31</v>
      </c>
      <c r="C451" s="301">
        <v>0.18452380952380953</v>
      </c>
      <c r="D451" s="2">
        <v>21.2121212121212</v>
      </c>
      <c r="E451" s="2">
        <v>17</v>
      </c>
      <c r="F451" s="301">
        <v>9.8837209302325577E-2</v>
      </c>
      <c r="G451" s="14">
        <v>12.1212121212121</v>
      </c>
      <c r="H451" s="2">
        <v>12</v>
      </c>
      <c r="I451" s="301">
        <v>0.11009174311926606</v>
      </c>
      <c r="J451" s="14">
        <v>14.545455</v>
      </c>
      <c r="K451" s="301">
        <v>-0.61290322580645162</v>
      </c>
      <c r="L451" s="2">
        <v>51</v>
      </c>
      <c r="M451" s="301">
        <v>9.1234347048300538E-2</v>
      </c>
      <c r="N451" s="2">
        <v>27.272727272727199</v>
      </c>
      <c r="O451" s="2">
        <v>20</v>
      </c>
      <c r="P451" s="301">
        <v>3.8910505836575876E-2</v>
      </c>
      <c r="Q451" s="14">
        <v>13.9393939393939</v>
      </c>
      <c r="R451" s="2">
        <v>43</v>
      </c>
      <c r="S451" s="301">
        <v>7.7338129496402883E-2</v>
      </c>
      <c r="T451" s="14">
        <v>17.575758</v>
      </c>
      <c r="U451" s="301">
        <v>-0.15686274509803921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1827</v>
      </c>
      <c r="B452" s="2">
        <v>0</v>
      </c>
      <c r="C452" s="301">
        <v>0</v>
      </c>
      <c r="D452" s="2">
        <v>80</v>
      </c>
      <c r="E452" s="2">
        <v>17</v>
      </c>
      <c r="F452" s="301">
        <v>9.8837209302325577E-2</v>
      </c>
      <c r="G452" s="14">
        <v>12.1212121212121</v>
      </c>
      <c r="H452" s="2">
        <v>12</v>
      </c>
      <c r="I452" s="301">
        <v>0.11009174311926606</v>
      </c>
      <c r="J452" s="14">
        <v>14.545455</v>
      </c>
      <c r="L452" s="2">
        <v>20</v>
      </c>
      <c r="M452" s="301">
        <v>3.5778175313059032E-2</v>
      </c>
      <c r="N452" s="2">
        <v>16.969696969696901</v>
      </c>
      <c r="O452" s="2">
        <v>20</v>
      </c>
      <c r="P452" s="301">
        <v>3.8910505836575876E-2</v>
      </c>
      <c r="Q452" s="14">
        <v>13.9393939393939</v>
      </c>
      <c r="R452" s="2">
        <v>41</v>
      </c>
      <c r="S452" s="301">
        <v>7.3741007194244604E-2</v>
      </c>
      <c r="T452" s="14">
        <v>17.575758</v>
      </c>
      <c r="U452" s="301">
        <v>1.05</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1828</v>
      </c>
      <c r="B453" s="2">
        <v>0</v>
      </c>
      <c r="C453" s="301">
        <v>0</v>
      </c>
      <c r="D453" s="2">
        <v>80</v>
      </c>
      <c r="E453" s="2">
        <v>0</v>
      </c>
      <c r="F453" s="301">
        <v>0</v>
      </c>
      <c r="G453" s="2">
        <v>16.969696969696901</v>
      </c>
      <c r="H453" s="2">
        <v>0</v>
      </c>
      <c r="I453" s="301">
        <v>0</v>
      </c>
      <c r="J453" s="14">
        <v>18.787877999999999</v>
      </c>
      <c r="L453" s="2">
        <v>0</v>
      </c>
      <c r="M453" s="301">
        <v>0</v>
      </c>
      <c r="N453" s="2">
        <v>80</v>
      </c>
      <c r="O453" s="2">
        <v>3</v>
      </c>
      <c r="P453" s="301">
        <v>5.8365758754863814E-3</v>
      </c>
      <c r="Q453" s="2">
        <v>4.2424242424242404</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1829</v>
      </c>
      <c r="B454" s="2">
        <v>0</v>
      </c>
      <c r="C454" s="301">
        <v>0</v>
      </c>
      <c r="D454" s="2">
        <v>80</v>
      </c>
      <c r="E454" s="2">
        <v>0</v>
      </c>
      <c r="F454" s="301">
        <v>0</v>
      </c>
      <c r="G454" s="14">
        <v>16.969696969696901</v>
      </c>
      <c r="H454" s="2">
        <v>0</v>
      </c>
      <c r="I454" s="301">
        <v>0</v>
      </c>
      <c r="J454" s="14">
        <v>18.787877999999999</v>
      </c>
      <c r="L454" s="2">
        <v>0</v>
      </c>
      <c r="M454" s="301">
        <v>0</v>
      </c>
      <c r="N454" s="2">
        <v>80</v>
      </c>
      <c r="O454" s="2">
        <v>0</v>
      </c>
      <c r="P454" s="301">
        <v>0</v>
      </c>
      <c r="Q454" s="14">
        <v>16.969696969696901</v>
      </c>
      <c r="R454" s="2">
        <v>3</v>
      </c>
      <c r="S454" s="301">
        <v>5.3956834532374104E-3</v>
      </c>
      <c r="T454" s="14">
        <v>3.030303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1830</v>
      </c>
      <c r="B455" s="2">
        <v>0</v>
      </c>
      <c r="C455" s="301">
        <v>0</v>
      </c>
      <c r="D455" s="2">
        <v>80</v>
      </c>
      <c r="E455" s="2">
        <v>17</v>
      </c>
      <c r="F455" s="301">
        <v>9.8837209302325577E-2</v>
      </c>
      <c r="G455" s="14">
        <v>12.1212121212121</v>
      </c>
      <c r="H455" s="2">
        <v>12</v>
      </c>
      <c r="I455" s="301">
        <v>0.11009174311926606</v>
      </c>
      <c r="J455" s="14">
        <v>14.545455</v>
      </c>
      <c r="L455" s="2">
        <v>20</v>
      </c>
      <c r="M455" s="301">
        <v>3.5778175313059032E-2</v>
      </c>
      <c r="N455" s="2">
        <v>16.969696969696901</v>
      </c>
      <c r="O455" s="2">
        <v>17</v>
      </c>
      <c r="P455" s="301">
        <v>3.3073929961089495E-2</v>
      </c>
      <c r="Q455" s="14">
        <v>12.1212121212121</v>
      </c>
      <c r="R455" s="2">
        <v>38</v>
      </c>
      <c r="S455" s="301">
        <v>6.83453237410072E-2</v>
      </c>
      <c r="T455" s="14">
        <v>17.575758</v>
      </c>
      <c r="U455" s="301">
        <v>0.9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1831</v>
      </c>
      <c r="B456" s="2">
        <v>31</v>
      </c>
      <c r="C456" s="301">
        <v>0.18452380952380953</v>
      </c>
      <c r="D456" s="2">
        <v>21.2121212121212</v>
      </c>
      <c r="E456" s="2">
        <v>0</v>
      </c>
      <c r="F456" s="301">
        <v>0</v>
      </c>
      <c r="G456" s="14">
        <v>16.969696969696901</v>
      </c>
      <c r="H456" s="2">
        <v>0</v>
      </c>
      <c r="I456" s="301">
        <v>0</v>
      </c>
      <c r="J456" s="14">
        <v>18.787877999999999</v>
      </c>
      <c r="K456" s="301">
        <v>-1</v>
      </c>
      <c r="L456" s="2">
        <v>31</v>
      </c>
      <c r="M456" s="301">
        <v>5.5456171735241505E-2</v>
      </c>
      <c r="N456" s="2">
        <v>21.2121212121212</v>
      </c>
      <c r="O456" s="2">
        <v>0</v>
      </c>
      <c r="P456" s="301">
        <v>0</v>
      </c>
      <c r="Q456" s="14">
        <v>16.969696969696901</v>
      </c>
      <c r="R456" s="2">
        <v>2</v>
      </c>
      <c r="S456" s="301">
        <v>3.5971223021582736E-3</v>
      </c>
      <c r="T456" s="14">
        <v>2.4242425000000001</v>
      </c>
      <c r="U456" s="301">
        <v>-0.93548387096774188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1820</v>
      </c>
      <c r="B457" s="2">
        <v>101</v>
      </c>
      <c r="C457" s="301">
        <v>0.60119047619047616</v>
      </c>
      <c r="D457" s="2">
        <v>46.6666666666666</v>
      </c>
      <c r="E457" s="2">
        <v>96</v>
      </c>
      <c r="F457" s="301">
        <v>0.55813953488372092</v>
      </c>
      <c r="G457" s="2">
        <v>42.424242424242401</v>
      </c>
      <c r="H457" s="2">
        <v>97</v>
      </c>
      <c r="I457" s="301">
        <v>0.88990825688073394</v>
      </c>
      <c r="J457" s="14">
        <v>43.030304000000001</v>
      </c>
      <c r="K457" s="301">
        <v>-3.9603960396039604E-2</v>
      </c>
      <c r="L457" s="2">
        <v>432</v>
      </c>
      <c r="M457" s="301">
        <v>0.77280858676207509</v>
      </c>
      <c r="N457" s="2">
        <v>96.969696969696898</v>
      </c>
      <c r="O457" s="2">
        <v>350</v>
      </c>
      <c r="P457" s="301">
        <v>0.68093385214007784</v>
      </c>
      <c r="Q457" s="2">
        <v>72.121212121212096</v>
      </c>
      <c r="R457" s="2">
        <v>454</v>
      </c>
      <c r="S457" s="301">
        <v>0.81654676258992809</v>
      </c>
      <c r="T457" s="14">
        <v>77.575760000000002</v>
      </c>
      <c r="U457" s="301">
        <v>5.0925925925925923E-2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1768</v>
      </c>
      <c r="B458" s="2">
        <v>84</v>
      </c>
      <c r="C458" s="301">
        <v>0.5</v>
      </c>
      <c r="D458" s="2">
        <v>44.2424242424242</v>
      </c>
      <c r="E458" s="2">
        <v>60</v>
      </c>
      <c r="F458" s="301">
        <v>0.34883720930232559</v>
      </c>
      <c r="G458" s="14">
        <v>36.363636363636303</v>
      </c>
      <c r="H458" s="2">
        <v>80</v>
      </c>
      <c r="I458" s="301">
        <v>0.73394495412844041</v>
      </c>
      <c r="J458" s="14">
        <v>38.181820000000002</v>
      </c>
      <c r="K458" s="301">
        <v>-4.7619047619047616E-2</v>
      </c>
      <c r="L458" s="2">
        <v>349</v>
      </c>
      <c r="M458" s="301">
        <v>0.62432915921288012</v>
      </c>
      <c r="N458" s="2">
        <v>86.060606060606005</v>
      </c>
      <c r="O458" s="2">
        <v>243</v>
      </c>
      <c r="P458" s="301">
        <v>0.47276264591439687</v>
      </c>
      <c r="Q458" s="14">
        <v>64.242424242424207</v>
      </c>
      <c r="R458" s="2">
        <v>396</v>
      </c>
      <c r="S458" s="301">
        <v>0.71223021582733814</v>
      </c>
      <c r="T458" s="14">
        <v>73.939390000000003</v>
      </c>
      <c r="U458" s="301">
        <v>0.1346704871060172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1822</v>
      </c>
      <c r="B459" s="2">
        <v>62</v>
      </c>
      <c r="C459" s="301">
        <v>0.36904761904761907</v>
      </c>
      <c r="D459" s="2">
        <v>39.393939393939398</v>
      </c>
      <c r="E459" s="2">
        <v>15</v>
      </c>
      <c r="F459" s="301">
        <v>8.7209302325581398E-2</v>
      </c>
      <c r="G459" s="14">
        <v>13.9393939393939</v>
      </c>
      <c r="H459" s="2">
        <v>58</v>
      </c>
      <c r="I459" s="301">
        <v>0.5321100917431193</v>
      </c>
      <c r="J459" s="14">
        <v>38.181820000000002</v>
      </c>
      <c r="K459" s="301">
        <v>-6.4516129032258063E-2</v>
      </c>
      <c r="L459" s="2">
        <v>226</v>
      </c>
      <c r="M459" s="301">
        <v>0.40429338103756707</v>
      </c>
      <c r="N459" s="2">
        <v>72.121212121212096</v>
      </c>
      <c r="O459" s="2">
        <v>64</v>
      </c>
      <c r="P459" s="301">
        <v>0.1245136186770428</v>
      </c>
      <c r="Q459" s="14">
        <v>41.212121212121197</v>
      </c>
      <c r="R459" s="2">
        <v>172</v>
      </c>
      <c r="S459" s="301">
        <v>0.30935251798561153</v>
      </c>
      <c r="T459" s="14">
        <v>58.787880000000001</v>
      </c>
      <c r="U459" s="301">
        <v>-0.23893805309734514</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1823</v>
      </c>
      <c r="B460" s="2">
        <v>10</v>
      </c>
      <c r="C460" s="301">
        <v>5.9523809523809521E-2</v>
      </c>
      <c r="D460" s="2">
        <v>10.909090909090899</v>
      </c>
      <c r="E460" s="2">
        <v>0</v>
      </c>
      <c r="F460" s="301">
        <v>0</v>
      </c>
      <c r="G460" s="14">
        <v>16.969696969696901</v>
      </c>
      <c r="H460" s="2">
        <v>0</v>
      </c>
      <c r="I460" s="301">
        <v>0</v>
      </c>
      <c r="J460" s="14">
        <v>18.787877999999999</v>
      </c>
      <c r="K460" s="301">
        <v>-1</v>
      </c>
      <c r="L460" s="2">
        <v>10</v>
      </c>
      <c r="M460" s="301">
        <v>1.7889087656529516E-2</v>
      </c>
      <c r="N460" s="2">
        <v>10.909090909090899</v>
      </c>
      <c r="O460" s="2">
        <v>0</v>
      </c>
      <c r="P460" s="301">
        <v>0</v>
      </c>
      <c r="Q460" s="14">
        <v>16.969696969696901</v>
      </c>
      <c r="R460" s="2">
        <v>35</v>
      </c>
      <c r="S460" s="301">
        <v>6.2949640287769781E-2</v>
      </c>
      <c r="T460" s="14">
        <v>24.848483999999999</v>
      </c>
      <c r="U460" s="301">
        <v>2.5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1824</v>
      </c>
      <c r="B461" s="2">
        <v>0</v>
      </c>
      <c r="C461" s="301">
        <v>0</v>
      </c>
      <c r="D461" s="2">
        <v>80</v>
      </c>
      <c r="E461" s="2">
        <v>0</v>
      </c>
      <c r="F461" s="301">
        <v>0</v>
      </c>
      <c r="G461" s="14">
        <v>16.969696969696901</v>
      </c>
      <c r="H461" s="2">
        <v>0</v>
      </c>
      <c r="I461" s="301">
        <v>0</v>
      </c>
      <c r="J461" s="14">
        <v>18.787877999999999</v>
      </c>
      <c r="L461" s="2">
        <v>41</v>
      </c>
      <c r="M461" s="301">
        <v>7.3345259391771014E-2</v>
      </c>
      <c r="N461" s="2">
        <v>37.5757575757575</v>
      </c>
      <c r="O461" s="2">
        <v>2</v>
      </c>
      <c r="P461" s="301">
        <v>3.8910505836575876E-3</v>
      </c>
      <c r="Q461" s="14">
        <v>3.0303030303030298</v>
      </c>
      <c r="R461" s="2">
        <v>2</v>
      </c>
      <c r="S461" s="301">
        <v>3.5971223021582736E-3</v>
      </c>
      <c r="T461" s="14">
        <v>2.4242425000000001</v>
      </c>
      <c r="U461" s="301">
        <v>-0.95121951219512191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1825</v>
      </c>
      <c r="B462" s="2">
        <v>52</v>
      </c>
      <c r="C462" s="301">
        <v>0.30952380952380953</v>
      </c>
      <c r="D462" s="2">
        <v>37.5757575757575</v>
      </c>
      <c r="E462" s="2">
        <v>15</v>
      </c>
      <c r="F462" s="301">
        <v>8.7209302325581398E-2</v>
      </c>
      <c r="G462" s="14">
        <v>13.9393939393939</v>
      </c>
      <c r="H462" s="2">
        <v>58</v>
      </c>
      <c r="I462" s="301">
        <v>0.5321100917431193</v>
      </c>
      <c r="J462" s="14">
        <v>38.181820000000002</v>
      </c>
      <c r="K462" s="301">
        <v>0.11538461538461539</v>
      </c>
      <c r="L462" s="2">
        <v>175</v>
      </c>
      <c r="M462" s="301">
        <v>0.31305903398926654</v>
      </c>
      <c r="N462" s="2">
        <v>60</v>
      </c>
      <c r="O462" s="2">
        <v>62</v>
      </c>
      <c r="P462" s="301">
        <v>0.12062256809338522</v>
      </c>
      <c r="Q462" s="14">
        <v>41.212121212121197</v>
      </c>
      <c r="R462" s="2">
        <v>135</v>
      </c>
      <c r="S462" s="301">
        <v>0.24280575539568344</v>
      </c>
      <c r="T462" s="14">
        <v>55.151516000000001</v>
      </c>
      <c r="U462" s="301">
        <v>-0.22857142857142856</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1826</v>
      </c>
      <c r="B463" s="2">
        <v>22</v>
      </c>
      <c r="C463" s="301">
        <v>0.13095238095238096</v>
      </c>
      <c r="D463" s="2">
        <v>16.363636363636299</v>
      </c>
      <c r="E463" s="2">
        <v>45</v>
      </c>
      <c r="F463" s="301">
        <v>0.26162790697674421</v>
      </c>
      <c r="G463" s="14">
        <v>32.121212121212103</v>
      </c>
      <c r="H463" s="2">
        <v>22</v>
      </c>
      <c r="I463" s="301">
        <v>0.20183486238532111</v>
      </c>
      <c r="J463" s="14">
        <v>21.818182</v>
      </c>
      <c r="K463" s="301">
        <v>0</v>
      </c>
      <c r="L463" s="2">
        <v>123</v>
      </c>
      <c r="M463" s="301">
        <v>0.22003577817531306</v>
      </c>
      <c r="N463" s="2">
        <v>43.636363636363598</v>
      </c>
      <c r="O463" s="2">
        <v>179</v>
      </c>
      <c r="P463" s="301">
        <v>0.34824902723735407</v>
      </c>
      <c r="Q463" s="14">
        <v>52.727272727272698</v>
      </c>
      <c r="R463" s="2">
        <v>224</v>
      </c>
      <c r="S463" s="301">
        <v>0.40287769784172661</v>
      </c>
      <c r="T463" s="14">
        <v>56.969695999999999</v>
      </c>
      <c r="U463" s="301">
        <v>0.82113821138211385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1769</v>
      </c>
      <c r="B464" s="2">
        <v>17</v>
      </c>
      <c r="C464" s="301">
        <v>0.10119047619047619</v>
      </c>
      <c r="D464" s="2">
        <v>16.363636363636299</v>
      </c>
      <c r="E464" s="2">
        <v>36</v>
      </c>
      <c r="F464" s="301">
        <v>0.20930232558139536</v>
      </c>
      <c r="G464" s="14">
        <v>21.2121212121212</v>
      </c>
      <c r="H464" s="2">
        <v>17</v>
      </c>
      <c r="I464" s="301">
        <v>0.15596330275229359</v>
      </c>
      <c r="J464" s="14">
        <v>15.757576</v>
      </c>
      <c r="K464" s="301">
        <v>0</v>
      </c>
      <c r="L464" s="2">
        <v>83</v>
      </c>
      <c r="M464" s="301">
        <v>0.14847942754919499</v>
      </c>
      <c r="N464" s="2">
        <v>49.090909090909101</v>
      </c>
      <c r="O464" s="2">
        <v>107</v>
      </c>
      <c r="P464" s="301">
        <v>0.20817120622568094</v>
      </c>
      <c r="Q464" s="14">
        <v>34.545454545454497</v>
      </c>
      <c r="R464" s="2">
        <v>58</v>
      </c>
      <c r="S464" s="301">
        <v>0.10431654676258993</v>
      </c>
      <c r="T464" s="14">
        <v>24.848483999999999</v>
      </c>
      <c r="U464" s="301">
        <v>-0.30120481927710846</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1770</v>
      </c>
      <c r="B465" s="2">
        <v>17</v>
      </c>
      <c r="C465" s="301">
        <v>0.10119047619047619</v>
      </c>
      <c r="D465" s="2">
        <v>16.363636363636299</v>
      </c>
      <c r="E465" s="2">
        <v>0</v>
      </c>
      <c r="F465" s="301">
        <v>0</v>
      </c>
      <c r="G465" s="14">
        <v>16.969696969696901</v>
      </c>
      <c r="H465" s="2">
        <v>0</v>
      </c>
      <c r="I465" s="301">
        <v>0</v>
      </c>
      <c r="J465" s="14">
        <v>18.787877999999999</v>
      </c>
      <c r="K465" s="301">
        <v>-1</v>
      </c>
      <c r="L465" s="2">
        <v>33</v>
      </c>
      <c r="M465" s="301">
        <v>5.9033989266547404E-2</v>
      </c>
      <c r="N465" s="2">
        <v>23.636363636363601</v>
      </c>
      <c r="O465" s="2">
        <v>4</v>
      </c>
      <c r="P465" s="301">
        <v>7.7821011673151752E-3</v>
      </c>
      <c r="Q465" s="14">
        <v>3.63636363636363</v>
      </c>
      <c r="R465" s="2">
        <v>15</v>
      </c>
      <c r="S465" s="301">
        <v>2.6978417266187049E-2</v>
      </c>
      <c r="T465" s="14">
        <v>13.333333</v>
      </c>
      <c r="U465" s="301">
        <v>-0.54545454545454541</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1827</v>
      </c>
      <c r="B466" s="2">
        <v>0</v>
      </c>
      <c r="C466" s="301">
        <v>0</v>
      </c>
      <c r="D466" s="2">
        <v>80</v>
      </c>
      <c r="E466" s="2">
        <v>0</v>
      </c>
      <c r="F466" s="301">
        <v>0</v>
      </c>
      <c r="G466" s="14">
        <v>16.969696969696901</v>
      </c>
      <c r="H466" s="2">
        <v>0</v>
      </c>
      <c r="I466" s="301">
        <v>0</v>
      </c>
      <c r="J466" s="14">
        <v>18.787877999999999</v>
      </c>
      <c r="L466" s="2">
        <v>0</v>
      </c>
      <c r="M466" s="301">
        <v>0</v>
      </c>
      <c r="N466" s="2">
        <v>80</v>
      </c>
      <c r="O466" s="2">
        <v>2</v>
      </c>
      <c r="P466" s="301">
        <v>3.8910505836575876E-3</v>
      </c>
      <c r="Q466" s="14">
        <v>3.0303030303030298</v>
      </c>
      <c r="R466" s="2">
        <v>0</v>
      </c>
      <c r="S466" s="301">
        <v>0</v>
      </c>
      <c r="T466" s="14">
        <v>18.787877999999999</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1828</v>
      </c>
      <c r="B467" s="2">
        <v>0</v>
      </c>
      <c r="C467" s="301">
        <v>0</v>
      </c>
      <c r="D467" s="2">
        <v>80</v>
      </c>
      <c r="E467" s="2">
        <v>0</v>
      </c>
      <c r="F467" s="301">
        <v>0</v>
      </c>
      <c r="G467" s="14">
        <v>16.969696969696901</v>
      </c>
      <c r="H467" s="2">
        <v>0</v>
      </c>
      <c r="I467" s="301">
        <v>0</v>
      </c>
      <c r="J467" s="14">
        <v>18.787877999999999</v>
      </c>
      <c r="L467" s="2">
        <v>0</v>
      </c>
      <c r="M467" s="301">
        <v>0</v>
      </c>
      <c r="N467" s="2">
        <v>80</v>
      </c>
      <c r="O467" s="2">
        <v>0</v>
      </c>
      <c r="P467" s="301">
        <v>0</v>
      </c>
      <c r="Q467" s="14">
        <v>16.969696969696901</v>
      </c>
      <c r="R467" s="2">
        <v>0</v>
      </c>
      <c r="S467" s="301">
        <v>0</v>
      </c>
      <c r="T467" s="14">
        <v>18.787877999999999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1829</v>
      </c>
      <c r="B468" s="2">
        <v>0</v>
      </c>
      <c r="C468" s="301">
        <v>0</v>
      </c>
      <c r="D468" s="2">
        <v>80</v>
      </c>
      <c r="E468" s="2">
        <v>0</v>
      </c>
      <c r="F468" s="301">
        <v>0</v>
      </c>
      <c r="G468" s="14">
        <v>16.969696969696901</v>
      </c>
      <c r="H468" s="2">
        <v>0</v>
      </c>
      <c r="I468" s="301">
        <v>0</v>
      </c>
      <c r="J468" s="14">
        <v>18.787877999999999</v>
      </c>
      <c r="L468" s="2">
        <v>0</v>
      </c>
      <c r="M468" s="301">
        <v>0</v>
      </c>
      <c r="N468" s="2">
        <v>80</v>
      </c>
      <c r="O468" s="2">
        <v>0</v>
      </c>
      <c r="P468" s="301">
        <v>0</v>
      </c>
      <c r="Q468" s="14">
        <v>16.969696969696901</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1830</v>
      </c>
      <c r="B469" s="2">
        <v>0</v>
      </c>
      <c r="C469" s="301">
        <v>0</v>
      </c>
      <c r="D469" s="2">
        <v>80</v>
      </c>
      <c r="E469" s="2">
        <v>0</v>
      </c>
      <c r="F469" s="301">
        <v>0</v>
      </c>
      <c r="G469" s="14">
        <v>16.969696969696901</v>
      </c>
      <c r="H469" s="2">
        <v>0</v>
      </c>
      <c r="I469" s="301">
        <v>0</v>
      </c>
      <c r="J469" s="14">
        <v>18.787877999999999</v>
      </c>
      <c r="L469" s="2">
        <v>0</v>
      </c>
      <c r="M469" s="301">
        <v>0</v>
      </c>
      <c r="N469" s="2">
        <v>80</v>
      </c>
      <c r="O469" s="2">
        <v>2</v>
      </c>
      <c r="P469" s="301">
        <v>3.8910505836575876E-3</v>
      </c>
      <c r="Q469" s="14">
        <v>3.0303030303030298</v>
      </c>
      <c r="R469" s="2">
        <v>0</v>
      </c>
      <c r="S469" s="301">
        <v>0</v>
      </c>
      <c r="T469" s="14">
        <v>18.787877999999999</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1831</v>
      </c>
      <c r="B470" s="2">
        <v>17</v>
      </c>
      <c r="C470" s="301">
        <v>0.10119047619047619</v>
      </c>
      <c r="D470" s="2">
        <v>16.363636363636299</v>
      </c>
      <c r="E470" s="2">
        <v>0</v>
      </c>
      <c r="F470" s="301">
        <v>0</v>
      </c>
      <c r="G470" s="14">
        <v>16.969696969696901</v>
      </c>
      <c r="H470" s="2">
        <v>0</v>
      </c>
      <c r="I470" s="301">
        <v>0</v>
      </c>
      <c r="J470" s="14">
        <v>18.787877999999999</v>
      </c>
      <c r="K470" s="301">
        <v>-1</v>
      </c>
      <c r="L470" s="2">
        <v>33</v>
      </c>
      <c r="M470" s="301">
        <v>5.9033989266547404E-2</v>
      </c>
      <c r="N470" s="2">
        <v>23.636363636363601</v>
      </c>
      <c r="O470" s="2">
        <v>2</v>
      </c>
      <c r="P470" s="301">
        <v>3.8910505836575876E-3</v>
      </c>
      <c r="Q470" s="14">
        <v>1.8181818181818099</v>
      </c>
      <c r="R470" s="2">
        <v>15</v>
      </c>
      <c r="S470" s="301">
        <v>2.6978417266187049E-2</v>
      </c>
      <c r="T470" s="14">
        <v>13.333333</v>
      </c>
      <c r="U470" s="301">
        <v>-0.54545454545454541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1771</v>
      </c>
      <c r="B471" s="2">
        <v>0</v>
      </c>
      <c r="C471" s="301">
        <v>0</v>
      </c>
      <c r="D471" s="2">
        <v>80</v>
      </c>
      <c r="E471" s="2">
        <v>36</v>
      </c>
      <c r="F471" s="301">
        <v>0.20930232558139536</v>
      </c>
      <c r="G471" s="14">
        <v>21.2121212121212</v>
      </c>
      <c r="H471" s="2">
        <v>17</v>
      </c>
      <c r="I471" s="301">
        <v>0.15596330275229359</v>
      </c>
      <c r="J471" s="14">
        <v>15.757576</v>
      </c>
      <c r="L471" s="2">
        <v>50</v>
      </c>
      <c r="M471" s="301">
        <v>8.9445438282647588E-2</v>
      </c>
      <c r="N471" s="2">
        <v>36.363636363636303</v>
      </c>
      <c r="O471" s="2">
        <v>103</v>
      </c>
      <c r="P471" s="301">
        <v>0.20038910505836577</v>
      </c>
      <c r="Q471" s="14">
        <v>34.545454545454497</v>
      </c>
      <c r="R471" s="2">
        <v>43</v>
      </c>
      <c r="S471" s="301">
        <v>7.7338129496402883E-2</v>
      </c>
      <c r="T471" s="14">
        <v>19.393940000000001</v>
      </c>
      <c r="U471" s="301">
        <v>-0.14000000000000001</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1827</v>
      </c>
      <c r="B472" s="2">
        <v>0</v>
      </c>
      <c r="C472" s="301">
        <v>0</v>
      </c>
      <c r="D472" s="2">
        <v>80</v>
      </c>
      <c r="E472" s="2">
        <v>0</v>
      </c>
      <c r="F472" s="301">
        <v>0</v>
      </c>
      <c r="G472" s="14">
        <v>16.969696969696901</v>
      </c>
      <c r="H472" s="2">
        <v>4</v>
      </c>
      <c r="I472" s="301">
        <v>3.669724770642202E-2</v>
      </c>
      <c r="J472" s="14">
        <v>4.2424239999999998</v>
      </c>
      <c r="L472" s="2">
        <v>46</v>
      </c>
      <c r="M472" s="301">
        <v>8.2289803220035776E-2</v>
      </c>
      <c r="N472" s="2">
        <v>36.363636363636303</v>
      </c>
      <c r="O472" s="2">
        <v>28</v>
      </c>
      <c r="P472" s="301">
        <v>5.4474708171206226E-2</v>
      </c>
      <c r="Q472" s="14">
        <v>18.181818181818102</v>
      </c>
      <c r="R472" s="2">
        <v>16</v>
      </c>
      <c r="S472" s="301">
        <v>2.8776978417266189E-2</v>
      </c>
      <c r="T472" s="14">
        <v>8.4848479999999995</v>
      </c>
      <c r="U472" s="301">
        <v>-0.65217391304347827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1828</v>
      </c>
      <c r="B473" s="2">
        <v>0</v>
      </c>
      <c r="C473" s="301">
        <v>0</v>
      </c>
      <c r="D473" s="2">
        <v>80</v>
      </c>
      <c r="E473" s="2">
        <v>0</v>
      </c>
      <c r="F473" s="301">
        <v>0</v>
      </c>
      <c r="G473" s="14">
        <v>16.969696969696901</v>
      </c>
      <c r="H473" s="2">
        <v>0</v>
      </c>
      <c r="I473" s="301">
        <v>0</v>
      </c>
      <c r="J473" s="14">
        <v>18.787877999999999</v>
      </c>
      <c r="L473" s="2">
        <v>0</v>
      </c>
      <c r="M473" s="301">
        <v>0</v>
      </c>
      <c r="N473" s="2">
        <v>80</v>
      </c>
      <c r="O473" s="2">
        <v>0</v>
      </c>
      <c r="P473" s="301">
        <v>0</v>
      </c>
      <c r="Q473" s="14">
        <v>16.969696969696901</v>
      </c>
      <c r="R473" s="2">
        <v>6</v>
      </c>
      <c r="S473" s="301">
        <v>1.0791366906474821E-2</v>
      </c>
      <c r="T473" s="14">
        <v>6.0606059999999999</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1829</v>
      </c>
      <c r="B474" s="2">
        <v>0</v>
      </c>
      <c r="C474" s="301">
        <v>0</v>
      </c>
      <c r="D474" s="2">
        <v>80</v>
      </c>
      <c r="E474" s="2">
        <v>0</v>
      </c>
      <c r="F474" s="301">
        <v>0</v>
      </c>
      <c r="G474" s="14">
        <v>16.969696969696901</v>
      </c>
      <c r="H474" s="2">
        <v>0</v>
      </c>
      <c r="I474" s="301">
        <v>0</v>
      </c>
      <c r="J474" s="14">
        <v>18.787877999999999</v>
      </c>
      <c r="L474" s="2">
        <v>40</v>
      </c>
      <c r="M474" s="301">
        <v>7.1556350626118065E-2</v>
      </c>
      <c r="N474" s="2">
        <v>36.363636363636303</v>
      </c>
      <c r="O474" s="2">
        <v>0</v>
      </c>
      <c r="P474" s="301">
        <v>0</v>
      </c>
      <c r="Q474" s="14">
        <v>16.969696969696901</v>
      </c>
      <c r="R474" s="2">
        <v>0</v>
      </c>
      <c r="S474" s="301">
        <v>0</v>
      </c>
      <c r="T474" s="14">
        <v>18.787877999999999</v>
      </c>
      <c r="U474" s="301">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1830</v>
      </c>
      <c r="B475" s="2">
        <v>0</v>
      </c>
      <c r="C475" s="301">
        <v>0</v>
      </c>
      <c r="D475" s="2">
        <v>80</v>
      </c>
      <c r="E475" s="2">
        <v>0</v>
      </c>
      <c r="F475" s="301">
        <v>0</v>
      </c>
      <c r="G475" s="14">
        <v>16.969696969696901</v>
      </c>
      <c r="H475" s="2">
        <v>4</v>
      </c>
      <c r="I475" s="301">
        <v>3.669724770642202E-2</v>
      </c>
      <c r="J475" s="14">
        <v>4.2424239999999998</v>
      </c>
      <c r="L475" s="2">
        <v>6</v>
      </c>
      <c r="M475" s="301">
        <v>1.0733452593917709E-2</v>
      </c>
      <c r="N475" s="2">
        <v>6.0606060606060597</v>
      </c>
      <c r="O475" s="2">
        <v>28</v>
      </c>
      <c r="P475" s="301">
        <v>5.4474708171206226E-2</v>
      </c>
      <c r="Q475" s="14">
        <v>18.181818181818102</v>
      </c>
      <c r="R475" s="2">
        <v>10</v>
      </c>
      <c r="S475" s="301">
        <v>1.7985611510791366E-2</v>
      </c>
      <c r="T475" s="14">
        <v>6.0606059999999999</v>
      </c>
      <c r="U475" s="301">
        <v>0.66666666666666663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1831</v>
      </c>
      <c r="B476" s="2">
        <v>0</v>
      </c>
      <c r="C476" s="301">
        <v>0</v>
      </c>
      <c r="D476" s="2">
        <v>80</v>
      </c>
      <c r="E476" s="2">
        <v>36</v>
      </c>
      <c r="F476" s="301">
        <v>0.20930232558139536</v>
      </c>
      <c r="G476" s="2">
        <v>21.2121212121212</v>
      </c>
      <c r="H476" s="2">
        <v>13</v>
      </c>
      <c r="I476" s="301">
        <v>0.11926605504587157</v>
      </c>
      <c r="J476" s="14">
        <v>14.545455</v>
      </c>
      <c r="L476" s="2">
        <v>4</v>
      </c>
      <c r="M476" s="301">
        <v>7.1556350626118068E-3</v>
      </c>
      <c r="N476" s="2">
        <v>4.2424242424242404</v>
      </c>
      <c r="O476" s="2">
        <v>75</v>
      </c>
      <c r="P476" s="301">
        <v>0.14591439688715954</v>
      </c>
      <c r="Q476" s="2">
        <v>29.090909090909101</v>
      </c>
      <c r="R476" s="2">
        <v>27</v>
      </c>
      <c r="S476" s="301">
        <v>4.8561151079136694E-2</v>
      </c>
      <c r="T476" s="14">
        <v>17.575758</v>
      </c>
      <c r="U476" s="301">
        <v>5.75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1835</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1706</v>
      </c>
      <c r="C479" s="304"/>
      <c r="D479" s="304" t="s">
        <v>1707</v>
      </c>
      <c r="E479" s="304" t="s">
        <v>1706</v>
      </c>
      <c r="F479" s="304"/>
      <c r="G479" s="304" t="s">
        <v>1707</v>
      </c>
      <c r="H479" s="304" t="s">
        <v>1706</v>
      </c>
      <c r="I479" s="304"/>
      <c r="J479" s="304" t="s">
        <v>1707</v>
      </c>
      <c r="K479" t="s">
        <v>172</v>
      </c>
      <c r="L479" s="304" t="s">
        <v>1706</v>
      </c>
      <c r="M479" s="304"/>
      <c r="N479" s="304" t="s">
        <v>1707</v>
      </c>
      <c r="O479" s="304" t="s">
        <v>1706</v>
      </c>
      <c r="P479" s="304"/>
      <c r="Q479" s="304" t="s">
        <v>1707</v>
      </c>
      <c r="R479" s="304" t="s">
        <v>1706</v>
      </c>
      <c r="S479" s="304"/>
      <c r="T479" s="304" t="s">
        <v>1707</v>
      </c>
      <c r="U479" t="s">
        <v>172</v>
      </c>
      <c r="V479" s="207" t="s">
        <v>1706</v>
      </c>
      <c r="W479" s="207"/>
      <c r="X479" s="207" t="s">
        <v>1707</v>
      </c>
      <c r="Y479" s="207" t="s">
        <v>1706</v>
      </c>
      <c r="Z479" s="207"/>
      <c r="AA479" s="207" t="s">
        <v>1707</v>
      </c>
      <c r="AB479" s="207" t="s">
        <v>1706</v>
      </c>
      <c r="AC479" s="207"/>
      <c r="AD479" s="207" t="s">
        <v>1707</v>
      </c>
      <c r="AE479" t="s">
        <v>172</v>
      </c>
    </row>
    <row r="480" spans="1:31" x14ac:dyDescent="0.3">
      <c r="A480" t="s">
        <v>174</v>
      </c>
      <c r="B480" s="2">
        <v>367</v>
      </c>
      <c r="C480" t="s">
        <v>172</v>
      </c>
      <c r="D480" s="2">
        <v>74.545454545454504</v>
      </c>
      <c r="E480" s="2">
        <v>388</v>
      </c>
      <c r="F480" t="s">
        <v>172</v>
      </c>
      <c r="G480" s="14">
        <v>63.030303030303003</v>
      </c>
      <c r="H480" s="2">
        <v>259</v>
      </c>
      <c r="I480" t="s">
        <v>172</v>
      </c>
      <c r="J480" s="14">
        <v>75.151510000000002</v>
      </c>
      <c r="K480" s="301">
        <v>-0.29427792915531337</v>
      </c>
      <c r="L480" s="2">
        <v>650</v>
      </c>
      <c r="M480" t="s">
        <v>172</v>
      </c>
      <c r="N480" s="2">
        <v>83.030303030303003</v>
      </c>
      <c r="O480" s="2">
        <v>654</v>
      </c>
      <c r="P480" t="s">
        <v>172</v>
      </c>
      <c r="Q480" s="14">
        <v>86.6666666666666</v>
      </c>
      <c r="R480" s="2">
        <v>676</v>
      </c>
      <c r="S480" t="s">
        <v>172</v>
      </c>
      <c r="T480" s="14">
        <v>87.272729999999996</v>
      </c>
      <c r="U480" s="301">
        <v>0.04</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1804</v>
      </c>
      <c r="B481" s="2">
        <v>46</v>
      </c>
      <c r="C481" s="301">
        <v>0.12534059945504086</v>
      </c>
      <c r="D481" s="2">
        <v>40</v>
      </c>
      <c r="E481" s="2">
        <v>68</v>
      </c>
      <c r="F481" s="301">
        <v>0.17525773195876287</v>
      </c>
      <c r="G481" s="14">
        <v>29.696969696969699</v>
      </c>
      <c r="H481" s="2">
        <v>120</v>
      </c>
      <c r="I481" s="301">
        <v>0.46332046332046334</v>
      </c>
      <c r="J481" s="14">
        <v>67.878784199999998</v>
      </c>
      <c r="K481" s="301">
        <v>1.6086956521739131</v>
      </c>
      <c r="L481" s="2">
        <v>61</v>
      </c>
      <c r="M481" s="301">
        <v>9.3846153846153843E-2</v>
      </c>
      <c r="N481" s="2">
        <v>43.030303030303003</v>
      </c>
      <c r="O481" s="2">
        <v>78</v>
      </c>
      <c r="P481" s="301">
        <v>0.11926605504587157</v>
      </c>
      <c r="Q481" s="14">
        <v>32.121212121212103</v>
      </c>
      <c r="R481" s="2">
        <v>179</v>
      </c>
      <c r="S481" s="301">
        <v>0.26479289940828404</v>
      </c>
      <c r="T481" s="14">
        <v>54.5454559</v>
      </c>
      <c r="U481" s="301">
        <v>1.9344262295081966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1768</v>
      </c>
      <c r="B482" s="2">
        <v>36</v>
      </c>
      <c r="C482" s="301">
        <v>9.8092643051771122E-2</v>
      </c>
      <c r="D482" s="2">
        <v>38.181818181818102</v>
      </c>
      <c r="E482" s="2">
        <v>34</v>
      </c>
      <c r="F482" s="301">
        <v>8.7628865979381437E-2</v>
      </c>
      <c r="G482" s="14">
        <v>22.424242424242401</v>
      </c>
      <c r="H482" s="2">
        <v>120</v>
      </c>
      <c r="I482" s="301">
        <v>0.46332046332046334</v>
      </c>
      <c r="J482" s="14">
        <v>67.878784199999998</v>
      </c>
      <c r="K482" s="301">
        <v>2.3333333333333335</v>
      </c>
      <c r="L482" s="2">
        <v>36</v>
      </c>
      <c r="M482" s="301">
        <v>5.5384615384615386E-2</v>
      </c>
      <c r="N482" s="2">
        <v>38.181818181818102</v>
      </c>
      <c r="O482" s="2">
        <v>34</v>
      </c>
      <c r="P482" s="301">
        <v>5.1987767584097858E-2</v>
      </c>
      <c r="Q482" s="14">
        <v>22.424242424242401</v>
      </c>
      <c r="R482" s="2">
        <v>148</v>
      </c>
      <c r="S482" s="301">
        <v>0.21893491124260356</v>
      </c>
      <c r="T482" s="14">
        <v>58.787880000000001</v>
      </c>
      <c r="U482" s="301">
        <v>3.1111111111111112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1822</v>
      </c>
      <c r="B483" s="2">
        <v>36</v>
      </c>
      <c r="C483" s="301">
        <v>9.8092643051771122E-2</v>
      </c>
      <c r="D483" s="2">
        <v>38.181818181818102</v>
      </c>
      <c r="E483" s="2">
        <v>34</v>
      </c>
      <c r="F483" s="301">
        <v>8.7628865979381437E-2</v>
      </c>
      <c r="G483" s="14">
        <v>22.424242424242401</v>
      </c>
      <c r="H483" s="2">
        <v>16</v>
      </c>
      <c r="I483" s="301">
        <v>6.1776061776061778E-2</v>
      </c>
      <c r="J483" s="14">
        <v>16.363636</v>
      </c>
      <c r="K483" s="301">
        <v>-0.55555555555555558</v>
      </c>
      <c r="L483" s="2">
        <v>36</v>
      </c>
      <c r="M483" s="301">
        <v>5.5384615384615386E-2</v>
      </c>
      <c r="N483" s="2">
        <v>38.181818181818102</v>
      </c>
      <c r="O483" s="2">
        <v>34</v>
      </c>
      <c r="P483" s="301">
        <v>5.1987767584097858E-2</v>
      </c>
      <c r="Q483" s="14">
        <v>22.424242424242401</v>
      </c>
      <c r="R483" s="2">
        <v>44</v>
      </c>
      <c r="S483" s="301">
        <v>6.5088757396449703E-2</v>
      </c>
      <c r="T483" s="14">
        <v>27.878788</v>
      </c>
      <c r="U483" s="301">
        <v>0.22222222222222221</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1823</v>
      </c>
      <c r="B484" s="2">
        <v>0</v>
      </c>
      <c r="C484" s="301">
        <v>0</v>
      </c>
      <c r="D484" s="2">
        <v>80</v>
      </c>
      <c r="E484" s="2">
        <v>19</v>
      </c>
      <c r="F484" s="301">
        <v>4.8969072164948453E-2</v>
      </c>
      <c r="G484" s="14">
        <v>17.5757575757575</v>
      </c>
      <c r="H484" s="2">
        <v>0</v>
      </c>
      <c r="I484" s="301">
        <v>0</v>
      </c>
      <c r="J484" s="14">
        <v>18.787877999999999</v>
      </c>
      <c r="L484" s="2">
        <v>0</v>
      </c>
      <c r="M484" s="301">
        <v>0</v>
      </c>
      <c r="N484" s="2">
        <v>80</v>
      </c>
      <c r="O484" s="2">
        <v>19</v>
      </c>
      <c r="P484" s="301">
        <v>2.9051987767584098E-2</v>
      </c>
      <c r="Q484" s="14">
        <v>17.5757575757575</v>
      </c>
      <c r="R484" s="2">
        <v>28</v>
      </c>
      <c r="S484" s="301">
        <v>4.142011834319527E-2</v>
      </c>
      <c r="T484" s="14">
        <v>27.272728000000001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1824</v>
      </c>
      <c r="B485" s="2">
        <v>0</v>
      </c>
      <c r="C485" s="301">
        <v>0</v>
      </c>
      <c r="D485" s="2">
        <v>80</v>
      </c>
      <c r="E485" s="2">
        <v>15</v>
      </c>
      <c r="F485" s="301">
        <v>3.8659793814432991E-2</v>
      </c>
      <c r="G485" s="14">
        <v>14.545454545454501</v>
      </c>
      <c r="H485" s="2">
        <v>0</v>
      </c>
      <c r="I485" s="301">
        <v>0</v>
      </c>
      <c r="J485" s="14">
        <v>18.787877999999999</v>
      </c>
      <c r="L485" s="2">
        <v>0</v>
      </c>
      <c r="M485" s="301">
        <v>0</v>
      </c>
      <c r="N485" s="2">
        <v>80</v>
      </c>
      <c r="O485" s="2">
        <v>15</v>
      </c>
      <c r="P485" s="301">
        <v>2.2935779816513763E-2</v>
      </c>
      <c r="Q485" s="14">
        <v>14.545454545454501</v>
      </c>
      <c r="R485" s="2">
        <v>0</v>
      </c>
      <c r="S485" s="301">
        <v>0</v>
      </c>
      <c r="T485" s="14">
        <v>18.787877999999999</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1825</v>
      </c>
      <c r="B486" s="2">
        <v>36</v>
      </c>
      <c r="C486" s="301">
        <v>9.8092643051771122E-2</v>
      </c>
      <c r="D486" s="2">
        <v>38.181818181818102</v>
      </c>
      <c r="E486" s="2">
        <v>0</v>
      </c>
      <c r="F486" s="301">
        <v>0</v>
      </c>
      <c r="G486" s="14">
        <v>16.969696969696901</v>
      </c>
      <c r="H486" s="2">
        <v>16</v>
      </c>
      <c r="I486" s="301">
        <v>6.1776061776061778E-2</v>
      </c>
      <c r="J486" s="14">
        <v>16.363636</v>
      </c>
      <c r="K486" s="301">
        <v>-0.55555555555555558</v>
      </c>
      <c r="L486" s="2">
        <v>36</v>
      </c>
      <c r="M486" s="301">
        <v>5.5384615384615386E-2</v>
      </c>
      <c r="N486" s="2">
        <v>38.181818181818102</v>
      </c>
      <c r="O486" s="2">
        <v>0</v>
      </c>
      <c r="P486" s="301">
        <v>0</v>
      </c>
      <c r="Q486" s="14">
        <v>16.969696969696901</v>
      </c>
      <c r="R486" s="2">
        <v>16</v>
      </c>
      <c r="S486" s="301">
        <v>2.3668639053254437E-2</v>
      </c>
      <c r="T486" s="14">
        <v>16.363636</v>
      </c>
      <c r="U486" s="301">
        <v>-0.55555555555555558</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1826</v>
      </c>
      <c r="B487" s="2">
        <v>0</v>
      </c>
      <c r="C487" s="301">
        <v>0</v>
      </c>
      <c r="D487" s="2">
        <v>80</v>
      </c>
      <c r="E487" s="2">
        <v>0</v>
      </c>
      <c r="F487" s="301">
        <v>0</v>
      </c>
      <c r="G487" s="14">
        <v>16.969696969696901</v>
      </c>
      <c r="H487" s="2">
        <v>104</v>
      </c>
      <c r="I487" s="301">
        <v>0.40154440154440152</v>
      </c>
      <c r="J487" s="14">
        <v>60.606059999999999</v>
      </c>
      <c r="L487" s="2">
        <v>0</v>
      </c>
      <c r="M487" s="301">
        <v>0</v>
      </c>
      <c r="N487" s="2">
        <v>80</v>
      </c>
      <c r="O487" s="2">
        <v>0</v>
      </c>
      <c r="P487" s="301">
        <v>0</v>
      </c>
      <c r="Q487" s="14">
        <v>16.969696969696901</v>
      </c>
      <c r="R487" s="2">
        <v>104</v>
      </c>
      <c r="S487" s="301">
        <v>0.15384615384615385</v>
      </c>
      <c r="T487" s="14">
        <v>60.606059999999999</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1769</v>
      </c>
      <c r="B488" s="2">
        <v>10</v>
      </c>
      <c r="C488" s="301">
        <v>2.7247956403269755E-2</v>
      </c>
      <c r="D488" s="2">
        <v>10.909090909090899</v>
      </c>
      <c r="E488" s="2">
        <v>34</v>
      </c>
      <c r="F488" s="301">
        <v>8.7628865979381437E-2</v>
      </c>
      <c r="G488" s="14">
        <v>21.2121212121212</v>
      </c>
      <c r="H488" s="2">
        <v>0</v>
      </c>
      <c r="I488" s="301">
        <v>0</v>
      </c>
      <c r="J488" s="14">
        <v>18.787877999999999</v>
      </c>
      <c r="K488" s="301">
        <v>-1</v>
      </c>
      <c r="L488" s="2">
        <v>25</v>
      </c>
      <c r="M488" s="301">
        <v>3.8461538461538464E-2</v>
      </c>
      <c r="N488" s="2">
        <v>20</v>
      </c>
      <c r="O488" s="2">
        <v>44</v>
      </c>
      <c r="P488" s="301">
        <v>6.7278287461773695E-2</v>
      </c>
      <c r="Q488" s="14">
        <v>21.818181818181799</v>
      </c>
      <c r="R488" s="2">
        <v>31</v>
      </c>
      <c r="S488" s="301">
        <v>4.5857988165680472E-2</v>
      </c>
      <c r="T488" s="14">
        <v>23.636364</v>
      </c>
      <c r="U488" s="301">
        <v>0.24</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1770</v>
      </c>
      <c r="B489" s="2">
        <v>0</v>
      </c>
      <c r="C489" s="301">
        <v>0</v>
      </c>
      <c r="D489" s="2">
        <v>80</v>
      </c>
      <c r="E489" s="2">
        <v>0</v>
      </c>
      <c r="F489" s="301">
        <v>0</v>
      </c>
      <c r="G489" s="14">
        <v>16.969696969696901</v>
      </c>
      <c r="H489" s="2">
        <v>0</v>
      </c>
      <c r="I489" s="301">
        <v>0</v>
      </c>
      <c r="J489" s="14">
        <v>18.787877999999999</v>
      </c>
      <c r="L489" s="2">
        <v>0</v>
      </c>
      <c r="M489" s="301">
        <v>0</v>
      </c>
      <c r="N489" s="2">
        <v>80</v>
      </c>
      <c r="O489" s="2">
        <v>0</v>
      </c>
      <c r="P489" s="301">
        <v>0</v>
      </c>
      <c r="Q489" s="14">
        <v>16.969696969696901</v>
      </c>
      <c r="R489" s="2">
        <v>25</v>
      </c>
      <c r="S489" s="301">
        <v>3.6982248520710061E-2</v>
      </c>
      <c r="T489" s="14">
        <v>23.030304000000001</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1827</v>
      </c>
      <c r="B490" s="2">
        <v>0</v>
      </c>
      <c r="C490" s="301">
        <v>0</v>
      </c>
      <c r="D490" s="2">
        <v>80</v>
      </c>
      <c r="E490" s="2">
        <v>0</v>
      </c>
      <c r="F490" s="301">
        <v>0</v>
      </c>
      <c r="G490" s="14">
        <v>16.969696969696901</v>
      </c>
      <c r="H490" s="2">
        <v>0</v>
      </c>
      <c r="I490" s="301">
        <v>0</v>
      </c>
      <c r="J490" s="14">
        <v>18.787877999999999</v>
      </c>
      <c r="L490" s="2">
        <v>0</v>
      </c>
      <c r="M490" s="301">
        <v>0</v>
      </c>
      <c r="N490" s="2">
        <v>80</v>
      </c>
      <c r="O490" s="2">
        <v>0</v>
      </c>
      <c r="P490" s="301">
        <v>0</v>
      </c>
      <c r="Q490" s="14">
        <v>16.969696969696901</v>
      </c>
      <c r="R490" s="2">
        <v>0</v>
      </c>
      <c r="S490" s="301">
        <v>0</v>
      </c>
      <c r="T490" s="14">
        <v>18.787877999999999</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1828</v>
      </c>
      <c r="B491" s="2">
        <v>0</v>
      </c>
      <c r="C491" s="301">
        <v>0</v>
      </c>
      <c r="D491" s="2">
        <v>80</v>
      </c>
      <c r="E491" s="2">
        <v>0</v>
      </c>
      <c r="F491" s="301">
        <v>0</v>
      </c>
      <c r="G491" s="14">
        <v>16.969696969696901</v>
      </c>
      <c r="H491" s="2">
        <v>0</v>
      </c>
      <c r="I491" s="301">
        <v>0</v>
      </c>
      <c r="J491" s="14">
        <v>18.787877999999999</v>
      </c>
      <c r="L491" s="2">
        <v>0</v>
      </c>
      <c r="M491" s="301">
        <v>0</v>
      </c>
      <c r="N491" s="2">
        <v>80</v>
      </c>
      <c r="O491" s="2">
        <v>0</v>
      </c>
      <c r="P491" s="301">
        <v>0</v>
      </c>
      <c r="Q491" s="14">
        <v>16.969696969696901</v>
      </c>
      <c r="R491" s="2">
        <v>0</v>
      </c>
      <c r="S491" s="301">
        <v>0</v>
      </c>
      <c r="T491" s="14">
        <v>18.787877999999999</v>
      </c>
      <c r="V491" s="2">
        <v>837</v>
      </c>
      <c r="W491" s="27">
        <v>1E-3</v>
      </c>
      <c r="X491" s="2">
        <v>121</v>
      </c>
      <c r="Y491" s="2">
        <v>977</v>
      </c>
      <c r="Z491" s="27">
        <v>1E-3</v>
      </c>
      <c r="AA491" s="14">
        <v>124.85</v>
      </c>
      <c r="AB491" s="2">
        <v>571</v>
      </c>
      <c r="AC491" s="27">
        <v>0</v>
      </c>
      <c r="AD491" s="14">
        <v>138.79</v>
      </c>
      <c r="AE491" s="27">
        <v>-0.318</v>
      </c>
    </row>
    <row r="492" spans="1:31" x14ac:dyDescent="0.3">
      <c r="A492" t="s">
        <v>1829</v>
      </c>
      <c r="B492" s="2">
        <v>0</v>
      </c>
      <c r="C492" s="301">
        <v>0</v>
      </c>
      <c r="D492" s="2">
        <v>80</v>
      </c>
      <c r="E492" s="2">
        <v>0</v>
      </c>
      <c r="F492" s="301">
        <v>0</v>
      </c>
      <c r="G492" s="14">
        <v>16.969696969696901</v>
      </c>
      <c r="H492" s="2">
        <v>0</v>
      </c>
      <c r="I492" s="301">
        <v>0</v>
      </c>
      <c r="J492" s="14">
        <v>18.787877999999999</v>
      </c>
      <c r="L492" s="2">
        <v>0</v>
      </c>
      <c r="M492" s="301">
        <v>0</v>
      </c>
      <c r="N492" s="2">
        <v>80</v>
      </c>
      <c r="O492" s="2">
        <v>0</v>
      </c>
      <c r="P492" s="301">
        <v>0</v>
      </c>
      <c r="Q492" s="14">
        <v>16.969696969696901</v>
      </c>
      <c r="R492" s="2">
        <v>0</v>
      </c>
      <c r="S492" s="301">
        <v>0</v>
      </c>
      <c r="T492" s="14">
        <v>18.787877999999999</v>
      </c>
      <c r="V492" s="2">
        <v>850</v>
      </c>
      <c r="W492" s="27">
        <v>1E-3</v>
      </c>
      <c r="X492" s="2">
        <v>151</v>
      </c>
      <c r="Y492" s="2">
        <v>1018</v>
      </c>
      <c r="Z492" s="27">
        <v>1E-3</v>
      </c>
      <c r="AA492" s="14">
        <v>130.30000000000001</v>
      </c>
      <c r="AB492" s="2">
        <v>694</v>
      </c>
      <c r="AC492" s="27">
        <v>1E-3</v>
      </c>
      <c r="AD492" s="14">
        <v>106.67</v>
      </c>
      <c r="AE492" s="27">
        <v>-0.184</v>
      </c>
    </row>
    <row r="493" spans="1:31" x14ac:dyDescent="0.3">
      <c r="A493" t="s">
        <v>1830</v>
      </c>
      <c r="B493" s="2">
        <v>0</v>
      </c>
      <c r="C493" s="301">
        <v>0</v>
      </c>
      <c r="D493" s="2">
        <v>80</v>
      </c>
      <c r="E493" s="2">
        <v>0</v>
      </c>
      <c r="F493" s="301">
        <v>0</v>
      </c>
      <c r="G493" s="14">
        <v>16.969696969696901</v>
      </c>
      <c r="H493" s="2">
        <v>0</v>
      </c>
      <c r="I493" s="301">
        <v>0</v>
      </c>
      <c r="J493" s="14">
        <v>18.787877999999999</v>
      </c>
      <c r="L493" s="2">
        <v>0</v>
      </c>
      <c r="M493" s="301">
        <v>0</v>
      </c>
      <c r="N493" s="2">
        <v>80</v>
      </c>
      <c r="O493" s="2">
        <v>0</v>
      </c>
      <c r="P493" s="301">
        <v>0</v>
      </c>
      <c r="Q493" s="14">
        <v>16.969696969696901</v>
      </c>
      <c r="R493" s="2">
        <v>0</v>
      </c>
      <c r="S493" s="301">
        <v>0</v>
      </c>
      <c r="T493" s="14">
        <v>18.787877999999999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1831</v>
      </c>
      <c r="B494" s="2">
        <v>0</v>
      </c>
      <c r="C494" s="301">
        <v>0</v>
      </c>
      <c r="D494" s="2">
        <v>80</v>
      </c>
      <c r="E494" s="2">
        <v>0</v>
      </c>
      <c r="F494" s="301">
        <v>0</v>
      </c>
      <c r="G494" s="14">
        <v>16.969696969696901</v>
      </c>
      <c r="H494" s="2">
        <v>0</v>
      </c>
      <c r="I494" s="301">
        <v>0</v>
      </c>
      <c r="J494" s="14">
        <v>18.787877999999999</v>
      </c>
      <c r="L494" s="2">
        <v>0</v>
      </c>
      <c r="M494" s="301">
        <v>0</v>
      </c>
      <c r="N494" s="2">
        <v>80</v>
      </c>
      <c r="O494" s="2">
        <v>0</v>
      </c>
      <c r="P494" s="301">
        <v>0</v>
      </c>
      <c r="Q494" s="14">
        <v>16.969696969696901</v>
      </c>
      <c r="R494" s="2">
        <v>25</v>
      </c>
      <c r="S494" s="301">
        <v>3.6982248520710061E-2</v>
      </c>
      <c r="T494" s="14">
        <v>23.030304000000001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1771</v>
      </c>
      <c r="B495" s="2">
        <v>10</v>
      </c>
      <c r="C495" s="301">
        <v>2.7247956403269755E-2</v>
      </c>
      <c r="D495" s="2">
        <v>10.909090909090899</v>
      </c>
      <c r="E495" s="2">
        <v>34</v>
      </c>
      <c r="F495" s="301">
        <v>8.7628865979381437E-2</v>
      </c>
      <c r="G495" s="14">
        <v>21.2121212121212</v>
      </c>
      <c r="H495" s="2">
        <v>0</v>
      </c>
      <c r="I495" s="301">
        <v>0</v>
      </c>
      <c r="J495" s="14">
        <v>18.787877999999999</v>
      </c>
      <c r="K495" s="301">
        <v>-1</v>
      </c>
      <c r="L495" s="2">
        <v>25</v>
      </c>
      <c r="M495" s="301">
        <v>3.8461538461538464E-2</v>
      </c>
      <c r="N495" s="2">
        <v>20</v>
      </c>
      <c r="O495" s="2">
        <v>44</v>
      </c>
      <c r="P495" s="301">
        <v>6.7278287461773695E-2</v>
      </c>
      <c r="Q495" s="14">
        <v>21.818181818181799</v>
      </c>
      <c r="R495" s="2">
        <v>6</v>
      </c>
      <c r="S495" s="301">
        <v>8.8757396449704144E-3</v>
      </c>
      <c r="T495" s="14">
        <v>5.4545455</v>
      </c>
      <c r="U495" s="301">
        <v>-0.76</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1827</v>
      </c>
      <c r="B496" s="2">
        <v>10</v>
      </c>
      <c r="C496" s="301">
        <v>2.7247956403269755E-2</v>
      </c>
      <c r="D496" s="2">
        <v>10.909090909090899</v>
      </c>
      <c r="E496" s="2">
        <v>34</v>
      </c>
      <c r="F496" s="301">
        <v>8.7628865979381437E-2</v>
      </c>
      <c r="G496" s="14">
        <v>21.2121212121212</v>
      </c>
      <c r="H496" s="2">
        <v>0</v>
      </c>
      <c r="I496" s="301">
        <v>0</v>
      </c>
      <c r="J496" s="14">
        <v>18.787877999999999</v>
      </c>
      <c r="K496" s="301">
        <v>-1</v>
      </c>
      <c r="L496" s="2">
        <v>25</v>
      </c>
      <c r="M496" s="301">
        <v>3.8461538461538464E-2</v>
      </c>
      <c r="N496" s="2">
        <v>20</v>
      </c>
      <c r="O496" s="2">
        <v>44</v>
      </c>
      <c r="P496" s="301">
        <v>6.7278287461773695E-2</v>
      </c>
      <c r="Q496" s="14">
        <v>21.818181818181799</v>
      </c>
      <c r="R496" s="2">
        <v>6</v>
      </c>
      <c r="S496" s="301">
        <v>8.8757396449704144E-3</v>
      </c>
      <c r="T496" s="14">
        <v>5.4545455</v>
      </c>
      <c r="U496" s="301">
        <v>-0.76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1828</v>
      </c>
      <c r="B497" s="2">
        <v>0</v>
      </c>
      <c r="C497" s="301">
        <v>0</v>
      </c>
      <c r="D497" s="2">
        <v>80</v>
      </c>
      <c r="E497" s="2">
        <v>0</v>
      </c>
      <c r="F497" s="301">
        <v>0</v>
      </c>
      <c r="G497" s="2">
        <v>16.969696969696901</v>
      </c>
      <c r="H497" s="2">
        <v>0</v>
      </c>
      <c r="I497" s="301">
        <v>0</v>
      </c>
      <c r="J497" s="14">
        <v>18.787877999999999</v>
      </c>
      <c r="L497" s="2">
        <v>0</v>
      </c>
      <c r="M497" s="301">
        <v>0</v>
      </c>
      <c r="N497" s="2">
        <v>80</v>
      </c>
      <c r="O497" s="2">
        <v>9</v>
      </c>
      <c r="P497" s="301">
        <v>1.3761467889908258E-2</v>
      </c>
      <c r="Q497" s="2">
        <v>9.0909090909090899</v>
      </c>
      <c r="R497" s="2">
        <v>0</v>
      </c>
      <c r="S497" s="301">
        <v>0</v>
      </c>
      <c r="T497" s="14">
        <v>18.787877999999999</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1829</v>
      </c>
      <c r="B498" s="2">
        <v>10</v>
      </c>
      <c r="C498" s="301">
        <v>2.7247956403269755E-2</v>
      </c>
      <c r="D498" s="2">
        <v>10.909090909090899</v>
      </c>
      <c r="E498" s="2">
        <v>0</v>
      </c>
      <c r="F498" s="301">
        <v>0</v>
      </c>
      <c r="G498" s="14">
        <v>16.969696969696901</v>
      </c>
      <c r="H498" s="2">
        <v>0</v>
      </c>
      <c r="I498" s="301">
        <v>0</v>
      </c>
      <c r="J498" s="14">
        <v>18.787877999999999</v>
      </c>
      <c r="K498" s="301">
        <v>-1</v>
      </c>
      <c r="L498" s="2">
        <v>10</v>
      </c>
      <c r="M498" s="301">
        <v>1.5384615384615385E-2</v>
      </c>
      <c r="N498" s="2">
        <v>10.909090909090899</v>
      </c>
      <c r="O498" s="2">
        <v>1</v>
      </c>
      <c r="P498" s="301">
        <v>1.5290519877675841E-3</v>
      </c>
      <c r="Q498" s="14">
        <v>1.8181818181818099</v>
      </c>
      <c r="R498" s="2">
        <v>0</v>
      </c>
      <c r="S498" s="301">
        <v>0</v>
      </c>
      <c r="T498" s="14">
        <v>18.787877999999999</v>
      </c>
      <c r="U498" s="301">
        <v>-1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1830</v>
      </c>
      <c r="B499" s="2">
        <v>0</v>
      </c>
      <c r="C499" s="301">
        <v>0</v>
      </c>
      <c r="D499" s="2">
        <v>80</v>
      </c>
      <c r="E499" s="2">
        <v>34</v>
      </c>
      <c r="F499" s="301">
        <v>8.7628865979381437E-2</v>
      </c>
      <c r="G499" s="14">
        <v>21.2121212121212</v>
      </c>
      <c r="H499" s="2">
        <v>0</v>
      </c>
      <c r="I499" s="301">
        <v>0</v>
      </c>
      <c r="J499" s="14">
        <v>18.787877999999999</v>
      </c>
      <c r="L499" s="2">
        <v>15</v>
      </c>
      <c r="M499" s="301">
        <v>2.3076923076923078E-2</v>
      </c>
      <c r="N499" s="2">
        <v>17.5757575757575</v>
      </c>
      <c r="O499" s="2">
        <v>34</v>
      </c>
      <c r="P499" s="301">
        <v>5.1987767584097858E-2</v>
      </c>
      <c r="Q499" s="14">
        <v>21.2121212121212</v>
      </c>
      <c r="R499" s="2">
        <v>6</v>
      </c>
      <c r="S499" s="301">
        <v>8.8757396449704144E-3</v>
      </c>
      <c r="T499" s="14">
        <v>5.4545455</v>
      </c>
      <c r="U499" s="301">
        <v>-0.6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1831</v>
      </c>
      <c r="B500" s="2">
        <v>0</v>
      </c>
      <c r="C500" s="301">
        <v>0</v>
      </c>
      <c r="D500" s="2">
        <v>80</v>
      </c>
      <c r="E500" s="2">
        <v>0</v>
      </c>
      <c r="F500" s="301">
        <v>0</v>
      </c>
      <c r="G500" s="14">
        <v>16.969696969696901</v>
      </c>
      <c r="H500" s="2">
        <v>0</v>
      </c>
      <c r="I500" s="301">
        <v>0</v>
      </c>
      <c r="J500" s="14">
        <v>18.787877999999999</v>
      </c>
      <c r="L500" s="2">
        <v>0</v>
      </c>
      <c r="M500" s="301">
        <v>0</v>
      </c>
      <c r="N500" s="2">
        <v>80</v>
      </c>
      <c r="O500" s="2">
        <v>0</v>
      </c>
      <c r="P500" s="301">
        <v>0</v>
      </c>
      <c r="Q500" s="14">
        <v>16.969696969696901</v>
      </c>
      <c r="R500" s="2">
        <v>0</v>
      </c>
      <c r="S500" s="301">
        <v>0</v>
      </c>
      <c r="T500" s="14">
        <v>18.787877999999999</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1820</v>
      </c>
      <c r="B501" s="2">
        <v>321</v>
      </c>
      <c r="C501" s="301">
        <v>0.87465940054495916</v>
      </c>
      <c r="D501" s="2">
        <v>70.303030303030297</v>
      </c>
      <c r="E501" s="2">
        <v>320</v>
      </c>
      <c r="F501" s="301">
        <v>0.82474226804123707</v>
      </c>
      <c r="G501" s="14">
        <v>56.969696969696898</v>
      </c>
      <c r="H501" s="2">
        <v>139</v>
      </c>
      <c r="I501" s="301">
        <v>0.53667953667953672</v>
      </c>
      <c r="J501" s="14">
        <v>38.787880000000001</v>
      </c>
      <c r="K501" s="301">
        <v>-0.5669781931464174</v>
      </c>
      <c r="L501" s="2">
        <v>589</v>
      </c>
      <c r="M501" s="301">
        <v>0.9061538461538462</v>
      </c>
      <c r="N501" s="2">
        <v>82.424242424242394</v>
      </c>
      <c r="O501" s="2">
        <v>576</v>
      </c>
      <c r="P501" s="301">
        <v>0.88073394495412849</v>
      </c>
      <c r="Q501" s="14">
        <v>83.636363636363598</v>
      </c>
      <c r="R501" s="2">
        <v>497</v>
      </c>
      <c r="S501" s="301">
        <v>0.73520710059171601</v>
      </c>
      <c r="T501" s="14">
        <v>86.060609999999997</v>
      </c>
      <c r="U501" s="301">
        <v>-0.15619694397283532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1768</v>
      </c>
      <c r="B502" s="2">
        <v>291</v>
      </c>
      <c r="C502" s="301">
        <v>0.79291553133514991</v>
      </c>
      <c r="D502" s="2">
        <v>66.6666666666666</v>
      </c>
      <c r="E502" s="2">
        <v>225</v>
      </c>
      <c r="F502" s="301">
        <v>0.57989690721649489</v>
      </c>
      <c r="G502" s="14">
        <v>52.121212121212103</v>
      </c>
      <c r="H502" s="2">
        <v>109</v>
      </c>
      <c r="I502" s="301">
        <v>0.42084942084942084</v>
      </c>
      <c r="J502" s="14">
        <v>33.3333321</v>
      </c>
      <c r="K502" s="301">
        <v>-0.62542955326460481</v>
      </c>
      <c r="L502" s="2">
        <v>523</v>
      </c>
      <c r="M502" s="301">
        <v>0.80461538461538462</v>
      </c>
      <c r="N502" s="2">
        <v>73.3333333333333</v>
      </c>
      <c r="O502" s="2">
        <v>476</v>
      </c>
      <c r="P502" s="301">
        <v>0.72782874617737003</v>
      </c>
      <c r="Q502" s="14">
        <v>89.696969696969703</v>
      </c>
      <c r="R502" s="2">
        <v>431</v>
      </c>
      <c r="S502" s="301">
        <v>0.6375739644970414</v>
      </c>
      <c r="T502" s="14">
        <v>86.060609999999997</v>
      </c>
      <c r="U502" s="301">
        <v>-0.17590822179732313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1822</v>
      </c>
      <c r="B503" s="2">
        <v>153</v>
      </c>
      <c r="C503" s="301">
        <v>0.41689373297002724</v>
      </c>
      <c r="D503" s="2">
        <v>56.363636363636303</v>
      </c>
      <c r="E503" s="2">
        <v>133</v>
      </c>
      <c r="F503" s="301">
        <v>0.34278350515463918</v>
      </c>
      <c r="G503" s="2">
        <v>33.939393939393902</v>
      </c>
      <c r="H503" s="2">
        <v>65</v>
      </c>
      <c r="I503" s="301">
        <v>0.25096525096525096</v>
      </c>
      <c r="J503" s="14">
        <v>25.454546000000001</v>
      </c>
      <c r="K503" s="301">
        <v>-0.57516339869281041</v>
      </c>
      <c r="L503" s="2">
        <v>198</v>
      </c>
      <c r="M503" s="301">
        <v>0.30461538461538462</v>
      </c>
      <c r="N503" s="2">
        <v>58.787878787878803</v>
      </c>
      <c r="O503" s="2">
        <v>229</v>
      </c>
      <c r="P503" s="301">
        <v>0.35015290519877673</v>
      </c>
      <c r="Q503" s="2">
        <v>58.787878787878803</v>
      </c>
      <c r="R503" s="2">
        <v>279</v>
      </c>
      <c r="S503" s="301">
        <v>0.41272189349112426</v>
      </c>
      <c r="T503" s="14">
        <v>63.636364</v>
      </c>
      <c r="U503" s="301">
        <v>0.40909090909090912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1823</v>
      </c>
      <c r="B504" s="2">
        <v>19</v>
      </c>
      <c r="C504" s="301">
        <v>5.1771117166212535E-2</v>
      </c>
      <c r="D504" s="2">
        <v>17.5757575757575</v>
      </c>
      <c r="E504" s="2">
        <v>0</v>
      </c>
      <c r="F504" s="301">
        <v>0</v>
      </c>
      <c r="G504" s="14">
        <v>16.969696969696901</v>
      </c>
      <c r="H504" s="2">
        <v>13</v>
      </c>
      <c r="I504" s="301">
        <v>5.019305019305019E-2</v>
      </c>
      <c r="J504" s="14">
        <v>13.939394</v>
      </c>
      <c r="K504" s="301">
        <v>-0.31578947368421051</v>
      </c>
      <c r="L504" s="2">
        <v>31</v>
      </c>
      <c r="M504" s="301">
        <v>4.7692307692307694E-2</v>
      </c>
      <c r="N504" s="2">
        <v>21.2121212121212</v>
      </c>
      <c r="O504" s="2">
        <v>45</v>
      </c>
      <c r="P504" s="301">
        <v>6.8807339449541288E-2</v>
      </c>
      <c r="Q504" s="14">
        <v>37.5757575757575</v>
      </c>
      <c r="R504" s="2">
        <v>21</v>
      </c>
      <c r="S504" s="301">
        <v>3.1065088757396449E-2</v>
      </c>
      <c r="T504" s="14">
        <v>17.575758</v>
      </c>
      <c r="U504" s="301">
        <v>-0.32258064516129031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1824</v>
      </c>
      <c r="B505" s="2">
        <v>0</v>
      </c>
      <c r="C505" s="301">
        <v>0</v>
      </c>
      <c r="D505" s="2">
        <v>80</v>
      </c>
      <c r="E505" s="2">
        <v>17</v>
      </c>
      <c r="F505" s="301">
        <v>4.3814432989690719E-2</v>
      </c>
      <c r="G505" s="14">
        <v>16.363636363636299</v>
      </c>
      <c r="H505" s="2">
        <v>10</v>
      </c>
      <c r="I505" s="301">
        <v>3.8610038610038609E-2</v>
      </c>
      <c r="J505" s="14">
        <v>12.727273</v>
      </c>
      <c r="L505" s="2">
        <v>13</v>
      </c>
      <c r="M505" s="301">
        <v>0.02</v>
      </c>
      <c r="N505" s="2">
        <v>13.3333333333333</v>
      </c>
      <c r="O505" s="2">
        <v>44</v>
      </c>
      <c r="P505" s="301">
        <v>6.7278287461773695E-2</v>
      </c>
      <c r="Q505" s="14">
        <v>24.2424242424242</v>
      </c>
      <c r="R505" s="2">
        <v>80</v>
      </c>
      <c r="S505" s="301">
        <v>0.11834319526627218</v>
      </c>
      <c r="T505" s="14">
        <v>43.030304000000001</v>
      </c>
      <c r="U505" s="301">
        <v>5.1538461538461542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1825</v>
      </c>
      <c r="B506" s="2">
        <v>134</v>
      </c>
      <c r="C506" s="301">
        <v>0.36512261580381472</v>
      </c>
      <c r="D506" s="2">
        <v>53.3333333333333</v>
      </c>
      <c r="E506" s="2">
        <v>116</v>
      </c>
      <c r="F506" s="301">
        <v>0.29896907216494845</v>
      </c>
      <c r="G506" s="14">
        <v>33.939393939393902</v>
      </c>
      <c r="H506" s="2">
        <v>42</v>
      </c>
      <c r="I506" s="301">
        <v>0.16216216216216217</v>
      </c>
      <c r="J506" s="14">
        <v>23.030304000000001</v>
      </c>
      <c r="K506" s="301">
        <v>-0.68656716417910446</v>
      </c>
      <c r="L506" s="2">
        <v>154</v>
      </c>
      <c r="M506" s="301">
        <v>0.23692307692307693</v>
      </c>
      <c r="N506" s="2">
        <v>56.363636363636303</v>
      </c>
      <c r="O506" s="2">
        <v>140</v>
      </c>
      <c r="P506" s="301">
        <v>0.21406727828746178</v>
      </c>
      <c r="Q506" s="14">
        <v>36.363636363636303</v>
      </c>
      <c r="R506" s="2">
        <v>178</v>
      </c>
      <c r="S506" s="301">
        <v>0.26331360946745563</v>
      </c>
      <c r="T506" s="14">
        <v>57.5757561</v>
      </c>
      <c r="U506" s="301">
        <v>0.15584415584415584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1826</v>
      </c>
      <c r="B507" s="2">
        <v>138</v>
      </c>
      <c r="C507" s="301">
        <v>0.37602179836512262</v>
      </c>
      <c r="D507" s="2">
        <v>63.030303030303003</v>
      </c>
      <c r="E507" s="2">
        <v>92</v>
      </c>
      <c r="F507" s="301">
        <v>0.23711340206185566</v>
      </c>
      <c r="G507" s="14">
        <v>40</v>
      </c>
      <c r="H507" s="2">
        <v>44</v>
      </c>
      <c r="I507" s="301">
        <v>0.16988416988416988</v>
      </c>
      <c r="J507" s="14">
        <v>24.848483999999999</v>
      </c>
      <c r="K507" s="301">
        <v>-0.6811594202898551</v>
      </c>
      <c r="L507" s="2">
        <v>325</v>
      </c>
      <c r="M507" s="301">
        <v>0.5</v>
      </c>
      <c r="N507" s="2">
        <v>70.303030303030297</v>
      </c>
      <c r="O507" s="2">
        <v>247</v>
      </c>
      <c r="P507" s="301">
        <v>0.37767584097859325</v>
      </c>
      <c r="Q507" s="14">
        <v>60</v>
      </c>
      <c r="R507" s="2">
        <v>152</v>
      </c>
      <c r="S507" s="301">
        <v>0.22485207100591717</v>
      </c>
      <c r="T507" s="14">
        <v>64.242424</v>
      </c>
      <c r="U507" s="301">
        <v>-0.53230769230769226</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1769</v>
      </c>
      <c r="B508" s="2">
        <v>30</v>
      </c>
      <c r="C508" s="301">
        <v>8.1743869209809264E-2</v>
      </c>
      <c r="D508" s="2">
        <v>29.696969696969699</v>
      </c>
      <c r="E508" s="2">
        <v>95</v>
      </c>
      <c r="F508" s="301">
        <v>0.24484536082474226</v>
      </c>
      <c r="G508" s="14">
        <v>43.030303030303003</v>
      </c>
      <c r="H508" s="2">
        <v>30</v>
      </c>
      <c r="I508" s="301">
        <v>0.11583011583011583</v>
      </c>
      <c r="J508" s="14">
        <v>20.606059999999999</v>
      </c>
      <c r="K508" s="301">
        <v>0</v>
      </c>
      <c r="L508" s="2">
        <v>66</v>
      </c>
      <c r="M508" s="301">
        <v>0.10153846153846154</v>
      </c>
      <c r="N508" s="2">
        <v>40.606060606060602</v>
      </c>
      <c r="O508" s="2">
        <v>100</v>
      </c>
      <c r="P508" s="301">
        <v>0.1529051987767584</v>
      </c>
      <c r="Q508" s="14">
        <v>44.2424242424242</v>
      </c>
      <c r="R508" s="2">
        <v>66</v>
      </c>
      <c r="S508" s="301">
        <v>9.7633136094674555E-2</v>
      </c>
      <c r="T508" s="14">
        <v>32.121212</v>
      </c>
      <c r="U508" s="301">
        <v>0</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1770</v>
      </c>
      <c r="B509" s="2">
        <v>0</v>
      </c>
      <c r="C509" s="301">
        <v>0</v>
      </c>
      <c r="D509" s="2">
        <v>80</v>
      </c>
      <c r="E509" s="2">
        <v>29</v>
      </c>
      <c r="F509" s="301">
        <v>7.4742268041237112E-2</v>
      </c>
      <c r="G509" s="14">
        <v>23.030303030302999</v>
      </c>
      <c r="H509" s="2">
        <v>0</v>
      </c>
      <c r="I509" s="301">
        <v>0</v>
      </c>
      <c r="J509" s="14">
        <v>18.787877999999999</v>
      </c>
      <c r="L509" s="2">
        <v>36</v>
      </c>
      <c r="M509" s="301">
        <v>5.5384615384615386E-2</v>
      </c>
      <c r="N509" s="2">
        <v>26.6666666666666</v>
      </c>
      <c r="O509" s="2">
        <v>29</v>
      </c>
      <c r="P509" s="301">
        <v>4.4342507645259939E-2</v>
      </c>
      <c r="Q509" s="14">
        <v>23.030303030302999</v>
      </c>
      <c r="R509" s="2">
        <v>8</v>
      </c>
      <c r="S509" s="301">
        <v>1.1834319526627219E-2</v>
      </c>
      <c r="T509" s="14">
        <v>7.8787880000000001</v>
      </c>
      <c r="U509" s="301">
        <v>-0.77777777777777779</v>
      </c>
      <c r="V509" s="2">
        <v>70793</v>
      </c>
      <c r="W509" s="27">
        <v>6.3E-2</v>
      </c>
      <c r="X509" s="2">
        <v>1122</v>
      </c>
      <c r="Y509" s="2">
        <v>76812</v>
      </c>
      <c r="Z509" s="27">
        <v>6.2E-2</v>
      </c>
      <c r="AA509" s="14">
        <v>1082.42</v>
      </c>
      <c r="AB509" s="2">
        <v>86327</v>
      </c>
      <c r="AC509" s="27">
        <v>6.3E-2</v>
      </c>
      <c r="AD509" s="14">
        <v>1368.48</v>
      </c>
      <c r="AE509" s="27">
        <v>0.219</v>
      </c>
    </row>
    <row r="510" spans="1:31" x14ac:dyDescent="0.3">
      <c r="A510" t="s">
        <v>1827</v>
      </c>
      <c r="B510" s="2">
        <v>0</v>
      </c>
      <c r="C510" s="301">
        <v>0</v>
      </c>
      <c r="D510" s="2">
        <v>80</v>
      </c>
      <c r="E510" s="2">
        <v>0</v>
      </c>
      <c r="F510" s="301">
        <v>0</v>
      </c>
      <c r="G510" s="14">
        <v>16.969696969696901</v>
      </c>
      <c r="H510" s="2">
        <v>0</v>
      </c>
      <c r="I510" s="301">
        <v>0</v>
      </c>
      <c r="J510" s="14">
        <v>18.787877999999999</v>
      </c>
      <c r="L510" s="2">
        <v>36</v>
      </c>
      <c r="M510" s="301">
        <v>5.5384615384615386E-2</v>
      </c>
      <c r="N510" s="2">
        <v>26.6666666666666</v>
      </c>
      <c r="O510" s="2">
        <v>0</v>
      </c>
      <c r="P510" s="301">
        <v>0</v>
      </c>
      <c r="Q510" s="14">
        <v>16.969696969696901</v>
      </c>
      <c r="R510" s="2">
        <v>8</v>
      </c>
      <c r="S510" s="301">
        <v>1.1834319526627219E-2</v>
      </c>
      <c r="T510" s="14">
        <v>7.8787880000000001</v>
      </c>
      <c r="U510" s="301">
        <v>-0.77777777777777779</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1828</v>
      </c>
      <c r="B511" s="2">
        <v>0</v>
      </c>
      <c r="C511" s="301">
        <v>0</v>
      </c>
      <c r="D511" s="2">
        <v>80</v>
      </c>
      <c r="E511" s="2">
        <v>0</v>
      </c>
      <c r="F511" s="301">
        <v>0</v>
      </c>
      <c r="G511" s="14">
        <v>16.969696969696901</v>
      </c>
      <c r="H511" s="2">
        <v>0</v>
      </c>
      <c r="I511" s="301">
        <v>0</v>
      </c>
      <c r="J511" s="14">
        <v>18.787877999999999</v>
      </c>
      <c r="L511" s="2">
        <v>0</v>
      </c>
      <c r="M511" s="301">
        <v>0</v>
      </c>
      <c r="N511" s="2">
        <v>80</v>
      </c>
      <c r="O511" s="2">
        <v>0</v>
      </c>
      <c r="P511" s="301">
        <v>0</v>
      </c>
      <c r="Q511" s="14">
        <v>16.969696969696901</v>
      </c>
      <c r="R511" s="2">
        <v>0</v>
      </c>
      <c r="S511" s="301">
        <v>0</v>
      </c>
      <c r="T511" s="14">
        <v>18.787877999999999</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1829</v>
      </c>
      <c r="B512" s="2">
        <v>0</v>
      </c>
      <c r="C512" s="301">
        <v>0</v>
      </c>
      <c r="D512" s="2">
        <v>80</v>
      </c>
      <c r="E512" s="2">
        <v>0</v>
      </c>
      <c r="F512" s="301">
        <v>0</v>
      </c>
      <c r="G512" s="14">
        <v>16.969696969696901</v>
      </c>
      <c r="H512" s="2">
        <v>0</v>
      </c>
      <c r="I512" s="301">
        <v>0</v>
      </c>
      <c r="J512" s="14">
        <v>18.787877999999999</v>
      </c>
      <c r="L512" s="2">
        <v>9</v>
      </c>
      <c r="M512" s="301">
        <v>1.3846153846153847E-2</v>
      </c>
      <c r="N512" s="2">
        <v>9.0909090909090899</v>
      </c>
      <c r="O512" s="2">
        <v>0</v>
      </c>
      <c r="P512" s="301">
        <v>0</v>
      </c>
      <c r="Q512" s="14">
        <v>16.969696969696901</v>
      </c>
      <c r="R512" s="2">
        <v>0</v>
      </c>
      <c r="S512" s="301">
        <v>0</v>
      </c>
      <c r="T512" s="14">
        <v>18.787877999999999</v>
      </c>
      <c r="U512" s="301">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1830</v>
      </c>
      <c r="B513" s="2">
        <v>0</v>
      </c>
      <c r="C513" s="301">
        <v>0</v>
      </c>
      <c r="D513" s="2">
        <v>80</v>
      </c>
      <c r="E513" s="2">
        <v>0</v>
      </c>
      <c r="F513" s="301">
        <v>0</v>
      </c>
      <c r="G513" s="14">
        <v>16.969696969696901</v>
      </c>
      <c r="H513" s="2">
        <v>0</v>
      </c>
      <c r="I513" s="301">
        <v>0</v>
      </c>
      <c r="J513" s="14">
        <v>18.787877999999999</v>
      </c>
      <c r="L513" s="2">
        <v>27</v>
      </c>
      <c r="M513" s="301">
        <v>4.1538461538461538E-2</v>
      </c>
      <c r="N513" s="2">
        <v>25.4545454545454</v>
      </c>
      <c r="O513" s="2">
        <v>0</v>
      </c>
      <c r="P513" s="301">
        <v>0</v>
      </c>
      <c r="Q513" s="14">
        <v>16.969696969696901</v>
      </c>
      <c r="R513" s="2">
        <v>8</v>
      </c>
      <c r="S513" s="301">
        <v>1.1834319526627219E-2</v>
      </c>
      <c r="T513" s="14">
        <v>7.8787880000000001</v>
      </c>
      <c r="U513" s="301">
        <v>-0.70370370370370372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1831</v>
      </c>
      <c r="B514" s="2">
        <v>0</v>
      </c>
      <c r="C514" s="301">
        <v>0</v>
      </c>
      <c r="D514" s="2">
        <v>80</v>
      </c>
      <c r="E514" s="2">
        <v>29</v>
      </c>
      <c r="F514" s="301">
        <v>7.4742268041237112E-2</v>
      </c>
      <c r="G514" s="14">
        <v>23.030303030302999</v>
      </c>
      <c r="H514" s="2">
        <v>0</v>
      </c>
      <c r="I514" s="301">
        <v>0</v>
      </c>
      <c r="J514" s="14">
        <v>18.787877999999999</v>
      </c>
      <c r="L514" s="2">
        <v>0</v>
      </c>
      <c r="M514" s="301">
        <v>0</v>
      </c>
      <c r="N514" s="2">
        <v>80</v>
      </c>
      <c r="O514" s="2">
        <v>29</v>
      </c>
      <c r="P514" s="301">
        <v>4.4342507645259939E-2</v>
      </c>
      <c r="Q514" s="14">
        <v>23.030303030302999</v>
      </c>
      <c r="R514" s="2">
        <v>0</v>
      </c>
      <c r="S514" s="301">
        <v>0</v>
      </c>
      <c r="T514" s="14">
        <v>18.787877999999999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1771</v>
      </c>
      <c r="B515" s="2">
        <v>30</v>
      </c>
      <c r="C515" s="301">
        <v>8.1743869209809264E-2</v>
      </c>
      <c r="D515" s="2">
        <v>29.696969696969699</v>
      </c>
      <c r="E515" s="2">
        <v>66</v>
      </c>
      <c r="F515" s="301">
        <v>0.17010309278350516</v>
      </c>
      <c r="G515" s="14">
        <v>36.969696969696898</v>
      </c>
      <c r="H515" s="2">
        <v>30</v>
      </c>
      <c r="I515" s="301">
        <v>0.11583011583011583</v>
      </c>
      <c r="J515" s="14">
        <v>20.606059999999999</v>
      </c>
      <c r="K515" s="301">
        <v>0</v>
      </c>
      <c r="L515" s="2">
        <v>30</v>
      </c>
      <c r="M515" s="301">
        <v>4.6153846153846156E-2</v>
      </c>
      <c r="N515" s="2">
        <v>29.696969696969699</v>
      </c>
      <c r="O515" s="2">
        <v>71</v>
      </c>
      <c r="P515" s="301">
        <v>0.10856269113149847</v>
      </c>
      <c r="Q515" s="14">
        <v>38.181818181818102</v>
      </c>
      <c r="R515" s="2">
        <v>58</v>
      </c>
      <c r="S515" s="301">
        <v>8.5798816568047331E-2</v>
      </c>
      <c r="T515" s="14">
        <v>30.909089999999999</v>
      </c>
      <c r="U515" s="301">
        <v>0.93333333333333335</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1827</v>
      </c>
      <c r="B516" s="2">
        <v>0</v>
      </c>
      <c r="C516" s="301">
        <v>0</v>
      </c>
      <c r="D516" s="2">
        <v>80</v>
      </c>
      <c r="E516" s="2">
        <v>47</v>
      </c>
      <c r="F516" s="301">
        <v>0.1211340206185567</v>
      </c>
      <c r="G516" s="14">
        <v>40</v>
      </c>
      <c r="H516" s="2">
        <v>22</v>
      </c>
      <c r="I516" s="301">
        <v>8.4942084942084939E-2</v>
      </c>
      <c r="J516" s="14">
        <v>18.787877999999999</v>
      </c>
      <c r="L516" s="2">
        <v>0</v>
      </c>
      <c r="M516" s="301">
        <v>0</v>
      </c>
      <c r="N516" s="2">
        <v>80</v>
      </c>
      <c r="O516" s="2">
        <v>47</v>
      </c>
      <c r="P516" s="301">
        <v>7.1865443425076447E-2</v>
      </c>
      <c r="Q516" s="14">
        <v>40</v>
      </c>
      <c r="R516" s="2">
        <v>31</v>
      </c>
      <c r="S516" s="301">
        <v>4.5857988165680472E-2</v>
      </c>
      <c r="T516" s="14">
        <v>24.242424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1828</v>
      </c>
      <c r="B517" s="2">
        <v>0</v>
      </c>
      <c r="C517" s="301">
        <v>0</v>
      </c>
      <c r="D517" s="2">
        <v>80</v>
      </c>
      <c r="E517" s="2">
        <v>0</v>
      </c>
      <c r="F517" s="301">
        <v>0</v>
      </c>
      <c r="G517" s="2">
        <v>16.969696969696901</v>
      </c>
      <c r="H517" s="2">
        <v>0</v>
      </c>
      <c r="I517" s="301">
        <v>0</v>
      </c>
      <c r="J517" s="14">
        <v>18.787877999999999</v>
      </c>
      <c r="L517" s="2">
        <v>0</v>
      </c>
      <c r="M517" s="301">
        <v>0</v>
      </c>
      <c r="N517" s="2">
        <v>80</v>
      </c>
      <c r="O517" s="2">
        <v>0</v>
      </c>
      <c r="P517" s="301">
        <v>0</v>
      </c>
      <c r="Q517" s="2">
        <v>16.969696969696901</v>
      </c>
      <c r="R517" s="2">
        <v>0</v>
      </c>
      <c r="S517" s="301">
        <v>0</v>
      </c>
      <c r="T517" s="14">
        <v>18.787877999999999</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1829</v>
      </c>
      <c r="B518" s="2">
        <v>0</v>
      </c>
      <c r="C518" s="301">
        <v>0</v>
      </c>
      <c r="D518" s="2">
        <v>80</v>
      </c>
      <c r="E518" s="2">
        <v>0</v>
      </c>
      <c r="F518" s="301">
        <v>0</v>
      </c>
      <c r="G518" s="14">
        <v>16.969696969696901</v>
      </c>
      <c r="H518" s="2">
        <v>0</v>
      </c>
      <c r="I518" s="301">
        <v>0</v>
      </c>
      <c r="J518" s="14">
        <v>18.787877999999999</v>
      </c>
      <c r="L518" s="2">
        <v>0</v>
      </c>
      <c r="M518" s="301">
        <v>0</v>
      </c>
      <c r="N518" s="2">
        <v>80</v>
      </c>
      <c r="O518" s="2">
        <v>0</v>
      </c>
      <c r="P518" s="301">
        <v>0</v>
      </c>
      <c r="Q518" s="14">
        <v>16.969696969696901</v>
      </c>
      <c r="R518" s="2">
        <v>0</v>
      </c>
      <c r="S518" s="301">
        <v>0</v>
      </c>
      <c r="T518" s="14">
        <v>18.787877999999999</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1830</v>
      </c>
      <c r="B519" s="2">
        <v>0</v>
      </c>
      <c r="C519" s="301">
        <v>0</v>
      </c>
      <c r="D519" s="2">
        <v>80</v>
      </c>
      <c r="E519" s="2">
        <v>47</v>
      </c>
      <c r="F519" s="301">
        <v>0.1211340206185567</v>
      </c>
      <c r="G519" s="14">
        <v>40</v>
      </c>
      <c r="H519" s="2">
        <v>22</v>
      </c>
      <c r="I519" s="301">
        <v>8.4942084942084939E-2</v>
      </c>
      <c r="J519" s="14">
        <v>18.787877999999999</v>
      </c>
      <c r="L519" s="2">
        <v>0</v>
      </c>
      <c r="M519" s="301">
        <v>0</v>
      </c>
      <c r="N519" s="2">
        <v>80</v>
      </c>
      <c r="O519" s="2">
        <v>47</v>
      </c>
      <c r="P519" s="301">
        <v>7.1865443425076447E-2</v>
      </c>
      <c r="Q519" s="14">
        <v>40</v>
      </c>
      <c r="R519" s="2">
        <v>31</v>
      </c>
      <c r="S519" s="301">
        <v>4.5857988165680472E-2</v>
      </c>
      <c r="T519" s="14">
        <v>24.242424</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1831</v>
      </c>
      <c r="B520" s="2">
        <v>30</v>
      </c>
      <c r="C520" s="301">
        <v>8.1743869209809264E-2</v>
      </c>
      <c r="D520" s="2">
        <v>29.696969696969699</v>
      </c>
      <c r="E520" s="2">
        <v>19</v>
      </c>
      <c r="F520" s="301">
        <v>4.8969072164948453E-2</v>
      </c>
      <c r="G520" s="14">
        <v>17.5757575757575</v>
      </c>
      <c r="H520" s="2">
        <v>8</v>
      </c>
      <c r="I520" s="301">
        <v>3.0888030888030889E-2</v>
      </c>
      <c r="J520" s="14">
        <v>9.0909089999999999</v>
      </c>
      <c r="K520" s="301">
        <v>-0.73333333333333328</v>
      </c>
      <c r="L520" s="2">
        <v>30</v>
      </c>
      <c r="M520" s="301">
        <v>4.6153846153846156E-2</v>
      </c>
      <c r="N520" s="2">
        <v>29.696969696969699</v>
      </c>
      <c r="O520" s="2">
        <v>24</v>
      </c>
      <c r="P520" s="301">
        <v>3.669724770642202E-2</v>
      </c>
      <c r="Q520" s="14">
        <v>18.7878787878787</v>
      </c>
      <c r="R520" s="2">
        <v>27</v>
      </c>
      <c r="S520" s="301">
        <v>3.9940828402366867E-2</v>
      </c>
      <c r="T520" s="14">
        <v>16.363636</v>
      </c>
      <c r="U520" s="301">
        <v>-0.1</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1836</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1706</v>
      </c>
      <c r="C523" s="304"/>
      <c r="D523" s="304" t="s">
        <v>1707</v>
      </c>
      <c r="E523" s="304" t="s">
        <v>1706</v>
      </c>
      <c r="F523" s="304"/>
      <c r="G523" s="304" t="s">
        <v>1707</v>
      </c>
      <c r="H523" s="304" t="s">
        <v>1706</v>
      </c>
      <c r="I523" s="304"/>
      <c r="J523" s="304" t="s">
        <v>1707</v>
      </c>
      <c r="K523" t="s">
        <v>172</v>
      </c>
      <c r="L523" s="304" t="s">
        <v>1706</v>
      </c>
      <c r="M523" s="304"/>
      <c r="N523" s="304" t="s">
        <v>1707</v>
      </c>
      <c r="O523" s="304" t="s">
        <v>1706</v>
      </c>
      <c r="P523" s="304"/>
      <c r="Q523" s="304" t="s">
        <v>1707</v>
      </c>
      <c r="R523" s="304" t="s">
        <v>1706</v>
      </c>
      <c r="S523" s="304"/>
      <c r="T523" s="304" t="s">
        <v>1707</v>
      </c>
      <c r="U523" t="s">
        <v>172</v>
      </c>
      <c r="V523" s="207" t="s">
        <v>1706</v>
      </c>
      <c r="W523" s="207"/>
      <c r="X523" s="207" t="s">
        <v>1707</v>
      </c>
      <c r="Y523" s="207" t="s">
        <v>1706</v>
      </c>
      <c r="Z523" s="207"/>
      <c r="AA523" s="207" t="s">
        <v>1707</v>
      </c>
      <c r="AB523" s="207" t="s">
        <v>1706</v>
      </c>
      <c r="AC523" s="207"/>
      <c r="AD523" s="207" t="s">
        <v>1707</v>
      </c>
      <c r="AE523" t="s">
        <v>172</v>
      </c>
    </row>
    <row r="524" spans="1:31" x14ac:dyDescent="0.3">
      <c r="A524" t="s">
        <v>174</v>
      </c>
      <c r="B524" s="2">
        <v>0</v>
      </c>
      <c r="C524" t="s">
        <v>172</v>
      </c>
      <c r="D524" s="2">
        <v>80</v>
      </c>
      <c r="E524" s="2">
        <v>12</v>
      </c>
      <c r="F524" t="s">
        <v>172</v>
      </c>
      <c r="G524" s="14">
        <v>10.303030303030299</v>
      </c>
      <c r="H524" s="2">
        <v>0</v>
      </c>
      <c r="I524" t="s">
        <v>172</v>
      </c>
      <c r="J524" s="14">
        <v>18.787877999999999</v>
      </c>
      <c r="L524" s="2">
        <v>10</v>
      </c>
      <c r="M524" t="s">
        <v>172</v>
      </c>
      <c r="N524" s="2">
        <v>7.8787878787878798</v>
      </c>
      <c r="O524" s="2">
        <v>33</v>
      </c>
      <c r="P524" t="s">
        <v>172</v>
      </c>
      <c r="Q524" s="14">
        <v>10.909090909090899</v>
      </c>
      <c r="R524" s="2">
        <v>8</v>
      </c>
      <c r="S524" t="s">
        <v>172</v>
      </c>
      <c r="T524" s="14">
        <v>6.6666665099999998</v>
      </c>
      <c r="U524" s="301">
        <v>-0.2</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1804</v>
      </c>
      <c r="B525" s="2">
        <v>0</v>
      </c>
      <c r="D525" s="2">
        <v>80</v>
      </c>
      <c r="E525" s="2">
        <v>0</v>
      </c>
      <c r="F525" s="301">
        <v>0</v>
      </c>
      <c r="G525" s="14">
        <v>16.969696969696901</v>
      </c>
      <c r="H525" s="2">
        <v>0</v>
      </c>
      <c r="J525" s="14">
        <v>18.787877999999999</v>
      </c>
      <c r="L525" s="2">
        <v>0</v>
      </c>
      <c r="M525" s="301">
        <v>0</v>
      </c>
      <c r="N525" s="2">
        <v>80</v>
      </c>
      <c r="O525" s="2">
        <v>0</v>
      </c>
      <c r="P525" s="301">
        <v>0</v>
      </c>
      <c r="Q525" s="14">
        <v>16.969696969696901</v>
      </c>
      <c r="R525" s="2">
        <v>0</v>
      </c>
      <c r="S525" s="301">
        <v>0</v>
      </c>
      <c r="T525" s="14">
        <v>18.787877999999999</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1768</v>
      </c>
      <c r="B526" s="2">
        <v>0</v>
      </c>
      <c r="D526" s="2">
        <v>80</v>
      </c>
      <c r="E526" s="2">
        <v>0</v>
      </c>
      <c r="F526" s="301">
        <v>0</v>
      </c>
      <c r="G526" s="14">
        <v>16.969696969696901</v>
      </c>
      <c r="H526" s="2">
        <v>0</v>
      </c>
      <c r="J526" s="14">
        <v>18.787877999999999</v>
      </c>
      <c r="L526" s="2">
        <v>0</v>
      </c>
      <c r="M526" s="301">
        <v>0</v>
      </c>
      <c r="N526" s="2">
        <v>80</v>
      </c>
      <c r="O526" s="2">
        <v>0</v>
      </c>
      <c r="P526" s="301">
        <v>0</v>
      </c>
      <c r="Q526" s="14">
        <v>16.969696969696901</v>
      </c>
      <c r="R526" s="2">
        <v>0</v>
      </c>
      <c r="S526" s="301">
        <v>0</v>
      </c>
      <c r="T526" s="14">
        <v>18.787877999999999</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1822</v>
      </c>
      <c r="B527" s="2">
        <v>0</v>
      </c>
      <c r="D527" s="2">
        <v>80</v>
      </c>
      <c r="E527" s="2">
        <v>0</v>
      </c>
      <c r="F527" s="301">
        <v>0</v>
      </c>
      <c r="G527" s="14">
        <v>16.969696969696901</v>
      </c>
      <c r="H527" s="2">
        <v>0</v>
      </c>
      <c r="J527" s="14">
        <v>18.787877999999999</v>
      </c>
      <c r="L527" s="2">
        <v>0</v>
      </c>
      <c r="M527" s="301">
        <v>0</v>
      </c>
      <c r="N527" s="2">
        <v>80</v>
      </c>
      <c r="O527" s="2">
        <v>0</v>
      </c>
      <c r="P527" s="301">
        <v>0</v>
      </c>
      <c r="Q527" s="14">
        <v>16.969696969696901</v>
      </c>
      <c r="R527" s="2">
        <v>0</v>
      </c>
      <c r="S527" s="301">
        <v>0</v>
      </c>
      <c r="T527" s="14">
        <v>18.787877999999999</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1823</v>
      </c>
      <c r="B528" s="2">
        <v>0</v>
      </c>
      <c r="D528" s="2">
        <v>80</v>
      </c>
      <c r="E528" s="2">
        <v>0</v>
      </c>
      <c r="F528" s="301">
        <v>0</v>
      </c>
      <c r="G528" s="14">
        <v>16.969696969696901</v>
      </c>
      <c r="H528" s="2">
        <v>0</v>
      </c>
      <c r="J528" s="14">
        <v>18.787877999999999</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1824</v>
      </c>
      <c r="B529" s="2">
        <v>0</v>
      </c>
      <c r="D529" s="2">
        <v>80</v>
      </c>
      <c r="E529" s="2">
        <v>0</v>
      </c>
      <c r="F529" s="301">
        <v>0</v>
      </c>
      <c r="G529" s="14">
        <v>16.969696969696901</v>
      </c>
      <c r="H529" s="2">
        <v>0</v>
      </c>
      <c r="J529" s="14">
        <v>18.787877999999999</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1825</v>
      </c>
      <c r="B530" s="2">
        <v>0</v>
      </c>
      <c r="D530" s="2">
        <v>80</v>
      </c>
      <c r="E530" s="2">
        <v>0</v>
      </c>
      <c r="F530" s="301">
        <v>0</v>
      </c>
      <c r="G530" s="14">
        <v>16.969696969696901</v>
      </c>
      <c r="H530" s="2">
        <v>0</v>
      </c>
      <c r="J530" s="14">
        <v>18.787877999999999</v>
      </c>
      <c r="L530" s="2">
        <v>0</v>
      </c>
      <c r="M530" s="301">
        <v>0</v>
      </c>
      <c r="N530" s="2">
        <v>80</v>
      </c>
      <c r="O530" s="2">
        <v>0</v>
      </c>
      <c r="P530" s="301">
        <v>0</v>
      </c>
      <c r="Q530" s="14">
        <v>16.969696969696901</v>
      </c>
      <c r="R530" s="2">
        <v>0</v>
      </c>
      <c r="S530" s="301">
        <v>0</v>
      </c>
      <c r="T530" s="14">
        <v>18.787877999999999</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1826</v>
      </c>
      <c r="B531" s="2">
        <v>0</v>
      </c>
      <c r="D531" s="2">
        <v>80</v>
      </c>
      <c r="E531" s="2">
        <v>0</v>
      </c>
      <c r="F531" s="301">
        <v>0</v>
      </c>
      <c r="G531" s="14">
        <v>16.969696969696901</v>
      </c>
      <c r="H531" s="2">
        <v>0</v>
      </c>
      <c r="J531" s="14">
        <v>18.787877999999999</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1769</v>
      </c>
      <c r="B532" s="2">
        <v>0</v>
      </c>
      <c r="D532" s="2">
        <v>80</v>
      </c>
      <c r="E532" s="2">
        <v>0</v>
      </c>
      <c r="F532" s="301">
        <v>0</v>
      </c>
      <c r="G532" s="14">
        <v>16.969696969696901</v>
      </c>
      <c r="H532" s="2">
        <v>0</v>
      </c>
      <c r="J532" s="14">
        <v>18.787877999999999</v>
      </c>
      <c r="L532" s="2">
        <v>0</v>
      </c>
      <c r="M532" s="301">
        <v>0</v>
      </c>
      <c r="N532" s="2">
        <v>80</v>
      </c>
      <c r="O532" s="2">
        <v>0</v>
      </c>
      <c r="P532" s="301">
        <v>0</v>
      </c>
      <c r="Q532" s="14">
        <v>16.969696969696901</v>
      </c>
      <c r="R532" s="2">
        <v>0</v>
      </c>
      <c r="S532" s="301">
        <v>0</v>
      </c>
      <c r="T532" s="14">
        <v>18.787877999999999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1770</v>
      </c>
      <c r="B533" s="2">
        <v>0</v>
      </c>
      <c r="D533" s="2">
        <v>80</v>
      </c>
      <c r="E533" s="2">
        <v>0</v>
      </c>
      <c r="F533" s="301">
        <v>0</v>
      </c>
      <c r="G533" s="14">
        <v>16.969696969696901</v>
      </c>
      <c r="H533" s="2">
        <v>0</v>
      </c>
      <c r="J533" s="14">
        <v>18.787877999999999</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1827</v>
      </c>
      <c r="B534" s="2">
        <v>0</v>
      </c>
      <c r="D534" s="2">
        <v>80</v>
      </c>
      <c r="E534" s="2">
        <v>0</v>
      </c>
      <c r="F534" s="301">
        <v>0</v>
      </c>
      <c r="G534" s="14">
        <v>16.969696969696901</v>
      </c>
      <c r="H534" s="2">
        <v>0</v>
      </c>
      <c r="J534" s="14">
        <v>18.787877999999999</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1828</v>
      </c>
      <c r="B535" s="2">
        <v>0</v>
      </c>
      <c r="D535" s="2">
        <v>80</v>
      </c>
      <c r="E535" s="2">
        <v>0</v>
      </c>
      <c r="F535" s="301">
        <v>0</v>
      </c>
      <c r="G535" s="14">
        <v>16.969696969696901</v>
      </c>
      <c r="H535" s="2">
        <v>0</v>
      </c>
      <c r="J535" s="14">
        <v>18.787877999999999</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1829</v>
      </c>
      <c r="B536" s="2">
        <v>0</v>
      </c>
      <c r="D536" s="2">
        <v>80</v>
      </c>
      <c r="E536" s="2">
        <v>0</v>
      </c>
      <c r="F536" s="301">
        <v>0</v>
      </c>
      <c r="G536" s="14">
        <v>16.969696969696901</v>
      </c>
      <c r="H536" s="2">
        <v>0</v>
      </c>
      <c r="J536" s="14">
        <v>18.787877999999999</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1830</v>
      </c>
      <c r="B537" s="2">
        <v>0</v>
      </c>
      <c r="D537" s="2">
        <v>80</v>
      </c>
      <c r="E537" s="2">
        <v>0</v>
      </c>
      <c r="F537" s="301">
        <v>0</v>
      </c>
      <c r="G537" s="14">
        <v>16.969696969696901</v>
      </c>
      <c r="H537" s="2">
        <v>0</v>
      </c>
      <c r="J537" s="14">
        <v>18.787877999999999</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1831</v>
      </c>
      <c r="B538" s="2">
        <v>0</v>
      </c>
      <c r="D538" s="2">
        <v>80</v>
      </c>
      <c r="E538" s="2">
        <v>0</v>
      </c>
      <c r="F538" s="301">
        <v>0</v>
      </c>
      <c r="G538" s="2">
        <v>16.969696969696901</v>
      </c>
      <c r="H538" s="2">
        <v>0</v>
      </c>
      <c r="J538" s="14">
        <v>18.787877999999999</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1771</v>
      </c>
      <c r="B539" s="2">
        <v>0</v>
      </c>
      <c r="D539" s="2">
        <v>80</v>
      </c>
      <c r="E539" s="2">
        <v>0</v>
      </c>
      <c r="F539" s="301">
        <v>0</v>
      </c>
      <c r="G539" s="14">
        <v>16.969696969696901</v>
      </c>
      <c r="H539" s="2">
        <v>0</v>
      </c>
      <c r="J539" s="14">
        <v>18.787877999999999</v>
      </c>
      <c r="L539" s="2">
        <v>0</v>
      </c>
      <c r="M539" s="301">
        <v>0</v>
      </c>
      <c r="N539" s="2">
        <v>80</v>
      </c>
      <c r="O539" s="2">
        <v>0</v>
      </c>
      <c r="P539" s="301">
        <v>0</v>
      </c>
      <c r="Q539" s="14">
        <v>16.969696969696901</v>
      </c>
      <c r="R539" s="2">
        <v>0</v>
      </c>
      <c r="S539" s="301">
        <v>0</v>
      </c>
      <c r="T539" s="14">
        <v>18.787877999999999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1827</v>
      </c>
      <c r="B540" s="2">
        <v>0</v>
      </c>
      <c r="D540" s="2">
        <v>80</v>
      </c>
      <c r="E540" s="2">
        <v>0</v>
      </c>
      <c r="F540" s="301">
        <v>0</v>
      </c>
      <c r="G540" s="14">
        <v>16.969696969696901</v>
      </c>
      <c r="H540" s="2">
        <v>0</v>
      </c>
      <c r="J540" s="14">
        <v>18.787877999999999</v>
      </c>
      <c r="L540" s="2">
        <v>0</v>
      </c>
      <c r="M540" s="301">
        <v>0</v>
      </c>
      <c r="N540" s="2">
        <v>80</v>
      </c>
      <c r="O540" s="2">
        <v>0</v>
      </c>
      <c r="P540" s="301">
        <v>0</v>
      </c>
      <c r="Q540" s="14">
        <v>16.969696969696901</v>
      </c>
      <c r="R540" s="2">
        <v>0</v>
      </c>
      <c r="S540" s="301">
        <v>0</v>
      </c>
      <c r="T540" s="14">
        <v>18.787877999999999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1828</v>
      </c>
      <c r="B541" s="2">
        <v>0</v>
      </c>
      <c r="D541" s="2">
        <v>80</v>
      </c>
      <c r="E541" s="2">
        <v>0</v>
      </c>
      <c r="F541" s="301">
        <v>0</v>
      </c>
      <c r="G541" s="14">
        <v>16.969696969696901</v>
      </c>
      <c r="H541" s="2">
        <v>0</v>
      </c>
      <c r="J541" s="14">
        <v>18.787877999999999</v>
      </c>
      <c r="L541" s="2">
        <v>0</v>
      </c>
      <c r="M541" s="301">
        <v>0</v>
      </c>
      <c r="N541" s="2">
        <v>80</v>
      </c>
      <c r="O541" s="2">
        <v>0</v>
      </c>
      <c r="P541" s="301">
        <v>0</v>
      </c>
      <c r="Q541" s="14">
        <v>16.969696969696901</v>
      </c>
      <c r="R541" s="2">
        <v>0</v>
      </c>
      <c r="S541" s="301">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1829</v>
      </c>
      <c r="B542" s="2">
        <v>0</v>
      </c>
      <c r="D542" s="2">
        <v>80</v>
      </c>
      <c r="E542" s="2">
        <v>0</v>
      </c>
      <c r="F542" s="301">
        <v>0</v>
      </c>
      <c r="G542" s="14">
        <v>16.969696969696901</v>
      </c>
      <c r="H542" s="2">
        <v>0</v>
      </c>
      <c r="J542" s="14">
        <v>18.787877999999999</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1830</v>
      </c>
      <c r="B543" s="2">
        <v>0</v>
      </c>
      <c r="D543" s="2">
        <v>80</v>
      </c>
      <c r="E543" s="2">
        <v>0</v>
      </c>
      <c r="F543" s="301">
        <v>0</v>
      </c>
      <c r="G543" s="14">
        <v>16.969696969696901</v>
      </c>
      <c r="H543" s="2">
        <v>0</v>
      </c>
      <c r="J543" s="14">
        <v>18.787877999999999</v>
      </c>
      <c r="L543" s="2">
        <v>0</v>
      </c>
      <c r="M543" s="301">
        <v>0</v>
      </c>
      <c r="N543" s="2">
        <v>80</v>
      </c>
      <c r="O543" s="2">
        <v>0</v>
      </c>
      <c r="P543" s="301">
        <v>0</v>
      </c>
      <c r="Q543" s="14">
        <v>16.969696969696901</v>
      </c>
      <c r="R543" s="2">
        <v>0</v>
      </c>
      <c r="S543" s="301">
        <v>0</v>
      </c>
      <c r="T543" s="14">
        <v>18.787877999999999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1831</v>
      </c>
      <c r="B544" s="2">
        <v>0</v>
      </c>
      <c r="D544" s="2">
        <v>80</v>
      </c>
      <c r="E544" s="2">
        <v>0</v>
      </c>
      <c r="F544" s="301">
        <v>0</v>
      </c>
      <c r="G544" s="14">
        <v>16.969696969696901</v>
      </c>
      <c r="H544" s="2">
        <v>0</v>
      </c>
      <c r="J544" s="14">
        <v>18.787877999999999</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1820</v>
      </c>
      <c r="B545" s="2">
        <v>0</v>
      </c>
      <c r="D545" s="2">
        <v>80</v>
      </c>
      <c r="E545" s="2">
        <v>12</v>
      </c>
      <c r="F545" s="301">
        <v>1</v>
      </c>
      <c r="G545" s="14">
        <v>10.303030303030299</v>
      </c>
      <c r="H545" s="2">
        <v>0</v>
      </c>
      <c r="J545" s="14">
        <v>18.787877999999999</v>
      </c>
      <c r="L545" s="2">
        <v>10</v>
      </c>
      <c r="M545" s="301">
        <v>1</v>
      </c>
      <c r="N545" s="2">
        <v>7.8787878787878798</v>
      </c>
      <c r="O545" s="2">
        <v>33</v>
      </c>
      <c r="P545" s="301">
        <v>1</v>
      </c>
      <c r="Q545" s="14">
        <v>10.909090909090899</v>
      </c>
      <c r="R545" s="2">
        <v>8</v>
      </c>
      <c r="S545" s="301">
        <v>1</v>
      </c>
      <c r="T545" s="14">
        <v>6.6666665099999998</v>
      </c>
      <c r="U545" s="301">
        <v>-0.2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1768</v>
      </c>
      <c r="B546" s="2">
        <v>0</v>
      </c>
      <c r="D546" s="2">
        <v>80</v>
      </c>
      <c r="E546" s="2">
        <v>2</v>
      </c>
      <c r="F546" s="301">
        <v>0.16666666666666666</v>
      </c>
      <c r="G546" s="14">
        <v>3.63636363636363</v>
      </c>
      <c r="H546" s="2">
        <v>0</v>
      </c>
      <c r="J546" s="14">
        <v>18.787877999999999</v>
      </c>
      <c r="L546" s="2">
        <v>10</v>
      </c>
      <c r="M546" s="301">
        <v>1</v>
      </c>
      <c r="N546" s="2">
        <v>7.8787878787878798</v>
      </c>
      <c r="O546" s="2">
        <v>23</v>
      </c>
      <c r="P546" s="301">
        <v>0.69696969696969702</v>
      </c>
      <c r="Q546" s="14">
        <v>6.0606060606060597</v>
      </c>
      <c r="R546" s="2">
        <v>8</v>
      </c>
      <c r="S546" s="301">
        <v>1</v>
      </c>
      <c r="T546" s="14">
        <v>6.6666665099999998</v>
      </c>
      <c r="U546" s="301">
        <v>-0.2</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1822</v>
      </c>
      <c r="B547" s="2">
        <v>0</v>
      </c>
      <c r="D547" s="2">
        <v>80</v>
      </c>
      <c r="E547" s="2">
        <v>0</v>
      </c>
      <c r="F547" s="301">
        <v>0</v>
      </c>
      <c r="G547" s="14">
        <v>16.969696969696901</v>
      </c>
      <c r="H547" s="2">
        <v>0</v>
      </c>
      <c r="J547" s="14">
        <v>18.787877999999999</v>
      </c>
      <c r="L547" s="2">
        <v>10</v>
      </c>
      <c r="M547" s="301">
        <v>1</v>
      </c>
      <c r="N547" s="2">
        <v>7.8787878787878798</v>
      </c>
      <c r="O547" s="2">
        <v>17</v>
      </c>
      <c r="P547" s="301">
        <v>0.51515151515151514</v>
      </c>
      <c r="Q547" s="14">
        <v>5.4545454545454497</v>
      </c>
      <c r="R547" s="2">
        <v>0</v>
      </c>
      <c r="S547" s="301">
        <v>0</v>
      </c>
      <c r="T547" s="14">
        <v>18.787877999999999</v>
      </c>
      <c r="U547" s="301">
        <v>-1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1823</v>
      </c>
      <c r="B548" s="2">
        <v>0</v>
      </c>
      <c r="D548" s="2">
        <v>80</v>
      </c>
      <c r="E548" s="2">
        <v>0</v>
      </c>
      <c r="F548" s="301">
        <v>0</v>
      </c>
      <c r="G548" s="14">
        <v>16.969696969696901</v>
      </c>
      <c r="H548" s="2">
        <v>0</v>
      </c>
      <c r="J548" s="14">
        <v>18.787877999999999</v>
      </c>
      <c r="L548" s="2">
        <v>0</v>
      </c>
      <c r="M548" s="301">
        <v>0</v>
      </c>
      <c r="N548" s="2">
        <v>80</v>
      </c>
      <c r="O548" s="2">
        <v>0</v>
      </c>
      <c r="P548" s="301">
        <v>0</v>
      </c>
      <c r="Q548" s="14">
        <v>16.969696969696901</v>
      </c>
      <c r="R548" s="2">
        <v>0</v>
      </c>
      <c r="S548" s="301">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1824</v>
      </c>
      <c r="B549" s="2">
        <v>0</v>
      </c>
      <c r="D549" s="2">
        <v>80</v>
      </c>
      <c r="E549" s="2">
        <v>0</v>
      </c>
      <c r="F549" s="301">
        <v>0</v>
      </c>
      <c r="G549" s="14">
        <v>16.969696969696901</v>
      </c>
      <c r="H549" s="2">
        <v>0</v>
      </c>
      <c r="J549" s="14">
        <v>18.787877999999999</v>
      </c>
      <c r="L549" s="2">
        <v>0</v>
      </c>
      <c r="M549" s="301">
        <v>0</v>
      </c>
      <c r="N549" s="2">
        <v>80</v>
      </c>
      <c r="O549" s="2">
        <v>0</v>
      </c>
      <c r="P549" s="301">
        <v>0</v>
      </c>
      <c r="Q549" s="14">
        <v>16.969696969696901</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1825</v>
      </c>
      <c r="B550" s="2">
        <v>0</v>
      </c>
      <c r="D550" s="2">
        <v>80</v>
      </c>
      <c r="E550" s="2">
        <v>0</v>
      </c>
      <c r="F550" s="301">
        <v>0</v>
      </c>
      <c r="G550" s="14">
        <v>16.969696969696901</v>
      </c>
      <c r="H550" s="2">
        <v>0</v>
      </c>
      <c r="J550" s="14">
        <v>18.787877999999999</v>
      </c>
      <c r="L550" s="2">
        <v>10</v>
      </c>
      <c r="M550" s="301">
        <v>1</v>
      </c>
      <c r="N550" s="2">
        <v>7.8787878787878798</v>
      </c>
      <c r="O550" s="2">
        <v>17</v>
      </c>
      <c r="P550" s="301">
        <v>0.51515151515151514</v>
      </c>
      <c r="Q550" s="14">
        <v>5.4545454545454497</v>
      </c>
      <c r="R550" s="2">
        <v>0</v>
      </c>
      <c r="S550" s="301">
        <v>0</v>
      </c>
      <c r="T550" s="14">
        <v>18.787877999999999</v>
      </c>
      <c r="U550" s="301">
        <v>-1</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1826</v>
      </c>
      <c r="B551" s="2">
        <v>0</v>
      </c>
      <c r="D551" s="2">
        <v>80</v>
      </c>
      <c r="E551" s="2">
        <v>2</v>
      </c>
      <c r="F551" s="301">
        <v>0.16666666666666666</v>
      </c>
      <c r="G551" s="14">
        <v>3.63636363636363</v>
      </c>
      <c r="H551" s="2">
        <v>0</v>
      </c>
      <c r="J551" s="14">
        <v>18.787877999999999</v>
      </c>
      <c r="L551" s="2">
        <v>0</v>
      </c>
      <c r="M551" s="301">
        <v>0</v>
      </c>
      <c r="N551" s="2">
        <v>80</v>
      </c>
      <c r="O551" s="2">
        <v>6</v>
      </c>
      <c r="P551" s="301">
        <v>0.18181818181818182</v>
      </c>
      <c r="Q551" s="14">
        <v>6.0606060606060597</v>
      </c>
      <c r="R551" s="2">
        <v>8</v>
      </c>
      <c r="S551" s="301">
        <v>1</v>
      </c>
      <c r="T551" s="14">
        <v>6.6666665099999998</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1769</v>
      </c>
      <c r="B552" s="2">
        <v>0</v>
      </c>
      <c r="D552" s="2">
        <v>80</v>
      </c>
      <c r="E552" s="2">
        <v>10</v>
      </c>
      <c r="F552" s="301">
        <v>0.83333333333333337</v>
      </c>
      <c r="G552" s="14">
        <v>9.0909090909090899</v>
      </c>
      <c r="H552" s="2">
        <v>0</v>
      </c>
      <c r="J552" s="14">
        <v>18.787877999999999</v>
      </c>
      <c r="L552" s="2">
        <v>0</v>
      </c>
      <c r="M552" s="301">
        <v>0</v>
      </c>
      <c r="N552" s="2">
        <v>80</v>
      </c>
      <c r="O552" s="2">
        <v>10</v>
      </c>
      <c r="P552" s="301">
        <v>0.30303030303030304</v>
      </c>
      <c r="Q552" s="14">
        <v>9.0909090909090899</v>
      </c>
      <c r="R552" s="2">
        <v>0</v>
      </c>
      <c r="S552" s="301">
        <v>0</v>
      </c>
      <c r="T552" s="14">
        <v>18.787877999999999</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1770</v>
      </c>
      <c r="B553" s="2">
        <v>0</v>
      </c>
      <c r="D553" s="2">
        <v>80</v>
      </c>
      <c r="E553" s="2">
        <v>0</v>
      </c>
      <c r="F553" s="301">
        <v>0</v>
      </c>
      <c r="G553" s="14">
        <v>16.969696969696901</v>
      </c>
      <c r="H553" s="2">
        <v>0</v>
      </c>
      <c r="J553" s="14">
        <v>18.787877999999999</v>
      </c>
      <c r="L553" s="2">
        <v>0</v>
      </c>
      <c r="M553" s="301">
        <v>0</v>
      </c>
      <c r="N553" s="2">
        <v>80</v>
      </c>
      <c r="O553" s="2">
        <v>0</v>
      </c>
      <c r="P553" s="301">
        <v>0</v>
      </c>
      <c r="Q553" s="14">
        <v>16.969696969696901</v>
      </c>
      <c r="R553" s="2">
        <v>0</v>
      </c>
      <c r="S553" s="301">
        <v>0</v>
      </c>
      <c r="T553" s="14">
        <v>18.787877999999999</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1827</v>
      </c>
      <c r="B554" s="2">
        <v>0</v>
      </c>
      <c r="D554" s="2">
        <v>80</v>
      </c>
      <c r="E554" s="2">
        <v>0</v>
      </c>
      <c r="F554" s="301">
        <v>0</v>
      </c>
      <c r="G554" s="14">
        <v>16.969696969696901</v>
      </c>
      <c r="H554" s="2">
        <v>0</v>
      </c>
      <c r="J554" s="14">
        <v>18.787877999999999</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1828</v>
      </c>
      <c r="B555" s="2">
        <v>0</v>
      </c>
      <c r="D555" s="2">
        <v>80</v>
      </c>
      <c r="E555" s="2">
        <v>0</v>
      </c>
      <c r="F555" s="301">
        <v>0</v>
      </c>
      <c r="G555" s="14">
        <v>16.969696969696901</v>
      </c>
      <c r="H555" s="2">
        <v>0</v>
      </c>
      <c r="J555" s="14">
        <v>18.787877999999999</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1829</v>
      </c>
      <c r="B556" s="2">
        <v>0</v>
      </c>
      <c r="D556" s="2">
        <v>80</v>
      </c>
      <c r="E556" s="2">
        <v>0</v>
      </c>
      <c r="F556" s="301">
        <v>0</v>
      </c>
      <c r="G556" s="14">
        <v>16.969696969696901</v>
      </c>
      <c r="H556" s="2">
        <v>0</v>
      </c>
      <c r="J556" s="14">
        <v>18.787877999999999</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1830</v>
      </c>
      <c r="B557" s="2">
        <v>0</v>
      </c>
      <c r="D557" s="2">
        <v>80</v>
      </c>
      <c r="E557" s="2">
        <v>0</v>
      </c>
      <c r="F557" s="301">
        <v>0</v>
      </c>
      <c r="G557" s="14">
        <v>16.969696969696901</v>
      </c>
      <c r="H557" s="2">
        <v>0</v>
      </c>
      <c r="J557" s="14">
        <v>18.787877999999999</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1831</v>
      </c>
      <c r="B558" s="2">
        <v>0</v>
      </c>
      <c r="D558" s="2">
        <v>80</v>
      </c>
      <c r="E558" s="2">
        <v>0</v>
      </c>
      <c r="F558" s="301">
        <v>0</v>
      </c>
      <c r="G558" s="14">
        <v>16.969696969696901</v>
      </c>
      <c r="H558" s="2">
        <v>0</v>
      </c>
      <c r="J558" s="14">
        <v>18.787877999999999</v>
      </c>
      <c r="L558" s="2">
        <v>0</v>
      </c>
      <c r="M558" s="301">
        <v>0</v>
      </c>
      <c r="N558" s="2">
        <v>80</v>
      </c>
      <c r="O558" s="2">
        <v>0</v>
      </c>
      <c r="P558" s="301">
        <v>0</v>
      </c>
      <c r="Q558" s="14">
        <v>16.969696969696901</v>
      </c>
      <c r="R558" s="2">
        <v>0</v>
      </c>
      <c r="S558" s="301">
        <v>0</v>
      </c>
      <c r="T558" s="14">
        <v>18.787877999999999</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1771</v>
      </c>
      <c r="B559" s="2">
        <v>0</v>
      </c>
      <c r="D559" s="2">
        <v>80</v>
      </c>
      <c r="E559" s="2">
        <v>10</v>
      </c>
      <c r="F559" s="301">
        <v>0.83333333333333337</v>
      </c>
      <c r="G559" s="14">
        <v>9.0909090909090899</v>
      </c>
      <c r="H559" s="2">
        <v>0</v>
      </c>
      <c r="J559" s="14">
        <v>18.787877999999999</v>
      </c>
      <c r="L559" s="2">
        <v>0</v>
      </c>
      <c r="M559" s="301">
        <v>0</v>
      </c>
      <c r="N559" s="2">
        <v>80</v>
      </c>
      <c r="O559" s="2">
        <v>10</v>
      </c>
      <c r="P559" s="301">
        <v>0.30303030303030304</v>
      </c>
      <c r="Q559" s="14">
        <v>9.0909090909090899</v>
      </c>
      <c r="R559" s="2">
        <v>0</v>
      </c>
      <c r="S559" s="301">
        <v>0</v>
      </c>
      <c r="T559" s="14">
        <v>18.787877999999999</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1827</v>
      </c>
      <c r="B560" s="2">
        <v>0</v>
      </c>
      <c r="D560" s="2">
        <v>80</v>
      </c>
      <c r="E560" s="2">
        <v>0</v>
      </c>
      <c r="F560" s="301">
        <v>0</v>
      </c>
      <c r="G560" s="14">
        <v>16.969696969696901</v>
      </c>
      <c r="H560" s="2">
        <v>0</v>
      </c>
      <c r="J560" s="14">
        <v>18.787877999999999</v>
      </c>
      <c r="L560" s="2">
        <v>0</v>
      </c>
      <c r="M560" s="301">
        <v>0</v>
      </c>
      <c r="N560" s="2">
        <v>80</v>
      </c>
      <c r="O560" s="2">
        <v>0</v>
      </c>
      <c r="P560" s="301">
        <v>0</v>
      </c>
      <c r="Q560" s="14">
        <v>16.969696969696901</v>
      </c>
      <c r="R560" s="2">
        <v>0</v>
      </c>
      <c r="S560" s="301">
        <v>0</v>
      </c>
      <c r="T560" s="14">
        <v>18.787877999999999</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1828</v>
      </c>
      <c r="B561" s="2">
        <v>0</v>
      </c>
      <c r="D561" s="2">
        <v>80</v>
      </c>
      <c r="E561" s="2">
        <v>0</v>
      </c>
      <c r="F561" s="301">
        <v>0</v>
      </c>
      <c r="G561" s="14">
        <v>16.969696969696901</v>
      </c>
      <c r="H561" s="2">
        <v>0</v>
      </c>
      <c r="J561" s="14">
        <v>18.787877999999999</v>
      </c>
      <c r="L561" s="2">
        <v>0</v>
      </c>
      <c r="M561" s="301">
        <v>0</v>
      </c>
      <c r="N561" s="2">
        <v>80</v>
      </c>
      <c r="O561" s="2">
        <v>0</v>
      </c>
      <c r="P561" s="301">
        <v>0</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1829</v>
      </c>
      <c r="B562" s="2">
        <v>0</v>
      </c>
      <c r="D562" s="2">
        <v>80</v>
      </c>
      <c r="E562" s="2">
        <v>0</v>
      </c>
      <c r="F562" s="301">
        <v>0</v>
      </c>
      <c r="G562" s="2">
        <v>16.969696969696901</v>
      </c>
      <c r="H562" s="2">
        <v>0</v>
      </c>
      <c r="J562" s="14">
        <v>18.787877999999999</v>
      </c>
      <c r="L562" s="2">
        <v>0</v>
      </c>
      <c r="M562" s="301">
        <v>0</v>
      </c>
      <c r="N562" s="2">
        <v>80</v>
      </c>
      <c r="O562" s="2">
        <v>0</v>
      </c>
      <c r="P562" s="301">
        <v>0</v>
      </c>
      <c r="Q562" s="2">
        <v>16.969696969696901</v>
      </c>
      <c r="R562" s="2">
        <v>0</v>
      </c>
      <c r="S562" s="301">
        <v>0</v>
      </c>
      <c r="T562" s="14">
        <v>18.787877999999999</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1830</v>
      </c>
      <c r="B563" s="2">
        <v>0</v>
      </c>
      <c r="D563" s="2">
        <v>80</v>
      </c>
      <c r="E563" s="2">
        <v>0</v>
      </c>
      <c r="F563" s="301">
        <v>0</v>
      </c>
      <c r="G563" s="14">
        <v>16.969696969696901</v>
      </c>
      <c r="H563" s="2">
        <v>0</v>
      </c>
      <c r="J563" s="14">
        <v>18.787877999999999</v>
      </c>
      <c r="L563" s="2">
        <v>0</v>
      </c>
      <c r="M563" s="301">
        <v>0</v>
      </c>
      <c r="N563" s="2">
        <v>80</v>
      </c>
      <c r="O563" s="2">
        <v>0</v>
      </c>
      <c r="P563" s="301">
        <v>0</v>
      </c>
      <c r="Q563" s="14">
        <v>16.969696969696901</v>
      </c>
      <c r="R563" s="2">
        <v>0</v>
      </c>
      <c r="S563" s="301">
        <v>0</v>
      </c>
      <c r="T563" s="14">
        <v>18.787877999999999</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1831</v>
      </c>
      <c r="B564" s="2">
        <v>0</v>
      </c>
      <c r="D564" s="2">
        <v>80</v>
      </c>
      <c r="E564" s="2">
        <v>10</v>
      </c>
      <c r="F564" s="301">
        <v>0.83333333333333337</v>
      </c>
      <c r="G564" s="2">
        <v>9.0909090909090899</v>
      </c>
      <c r="H564" s="2">
        <v>0</v>
      </c>
      <c r="J564" s="14">
        <v>18.787877999999999</v>
      </c>
      <c r="L564" s="2">
        <v>0</v>
      </c>
      <c r="M564" s="301">
        <v>0</v>
      </c>
      <c r="N564" s="2">
        <v>80</v>
      </c>
      <c r="O564" s="2">
        <v>10</v>
      </c>
      <c r="P564" s="301">
        <v>0.30303030303030304</v>
      </c>
      <c r="Q564" s="2">
        <v>9.0909090909090899</v>
      </c>
      <c r="R564" s="2">
        <v>0</v>
      </c>
      <c r="S564" s="301">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1837</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1706</v>
      </c>
      <c r="C567" s="304"/>
      <c r="D567" s="304" t="s">
        <v>1707</v>
      </c>
      <c r="E567" s="304" t="s">
        <v>1706</v>
      </c>
      <c r="F567" s="304"/>
      <c r="G567" s="304" t="s">
        <v>1707</v>
      </c>
      <c r="H567" s="304" t="s">
        <v>1706</v>
      </c>
      <c r="I567" s="304"/>
      <c r="J567" s="304" t="s">
        <v>1707</v>
      </c>
      <c r="K567" t="s">
        <v>172</v>
      </c>
      <c r="L567" s="304" t="s">
        <v>1706</v>
      </c>
      <c r="M567" s="304"/>
      <c r="N567" s="304" t="s">
        <v>1707</v>
      </c>
      <c r="O567" s="304" t="s">
        <v>1706</v>
      </c>
      <c r="P567" s="304"/>
      <c r="Q567" s="304" t="s">
        <v>1707</v>
      </c>
      <c r="R567" s="304" t="s">
        <v>1706</v>
      </c>
      <c r="S567" s="304"/>
      <c r="T567" s="304" t="s">
        <v>1707</v>
      </c>
      <c r="U567" t="s">
        <v>172</v>
      </c>
      <c r="V567" s="207" t="s">
        <v>1706</v>
      </c>
      <c r="W567" s="207"/>
      <c r="X567" s="207" t="s">
        <v>1707</v>
      </c>
      <c r="Y567" s="207" t="s">
        <v>1706</v>
      </c>
      <c r="Z567" s="207"/>
      <c r="AA567" s="207" t="s">
        <v>1707</v>
      </c>
      <c r="AB567" s="207" t="s">
        <v>1706</v>
      </c>
      <c r="AC567" s="207"/>
      <c r="AD567" s="207" t="s">
        <v>1707</v>
      </c>
      <c r="AE567" t="s">
        <v>172</v>
      </c>
    </row>
    <row r="568" spans="1:31" x14ac:dyDescent="0.3">
      <c r="A568" t="s">
        <v>174</v>
      </c>
      <c r="B568" s="2">
        <v>1335</v>
      </c>
      <c r="C568" t="s">
        <v>172</v>
      </c>
      <c r="D568" s="2">
        <v>135.15151515151501</v>
      </c>
      <c r="E568" s="2">
        <v>1383</v>
      </c>
      <c r="F568" t="s">
        <v>172</v>
      </c>
      <c r="G568" s="14">
        <v>152.12121212121201</v>
      </c>
      <c r="H568" s="2">
        <v>4683</v>
      </c>
      <c r="I568" t="s">
        <v>172</v>
      </c>
      <c r="J568" s="14">
        <v>324.84848</v>
      </c>
      <c r="K568" s="301">
        <v>2.5078651685393258</v>
      </c>
      <c r="L568" s="2">
        <v>2598</v>
      </c>
      <c r="M568" t="s">
        <v>172</v>
      </c>
      <c r="N568" s="2">
        <v>212.12121212121201</v>
      </c>
      <c r="O568" s="2">
        <v>2215</v>
      </c>
      <c r="P568" t="s">
        <v>172</v>
      </c>
      <c r="Q568" s="14">
        <v>189.69696969696901</v>
      </c>
      <c r="R568" s="2">
        <v>7677</v>
      </c>
      <c r="S568" t="s">
        <v>172</v>
      </c>
      <c r="T568" s="14">
        <v>416.96969999999999</v>
      </c>
      <c r="U568" s="301">
        <v>1.9549653579676673</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1804</v>
      </c>
      <c r="B569" s="2">
        <v>354</v>
      </c>
      <c r="C569" s="301">
        <v>0.26516853932584272</v>
      </c>
      <c r="D569" s="2">
        <v>75.757575757575694</v>
      </c>
      <c r="E569" s="2">
        <v>354</v>
      </c>
      <c r="F569" s="301">
        <v>0.2559652928416486</v>
      </c>
      <c r="G569" s="14">
        <v>76.969696969696898</v>
      </c>
      <c r="H569" s="2">
        <v>1456</v>
      </c>
      <c r="I569" s="301">
        <v>0.31091180866965618</v>
      </c>
      <c r="J569" s="14">
        <v>189.69697600000001</v>
      </c>
      <c r="K569" s="301">
        <v>3.1129943502824857</v>
      </c>
      <c r="L569" s="2">
        <v>594</v>
      </c>
      <c r="M569" s="301">
        <v>0.22863741339491916</v>
      </c>
      <c r="N569" s="2">
        <v>101.818181818181</v>
      </c>
      <c r="O569" s="2">
        <v>436</v>
      </c>
      <c r="P569" s="301">
        <v>0.19683972911963882</v>
      </c>
      <c r="Q569" s="14">
        <v>79.393939393939405</v>
      </c>
      <c r="R569" s="2">
        <v>1987</v>
      </c>
      <c r="S569" s="301">
        <v>0.25882506187312754</v>
      </c>
      <c r="T569" s="14">
        <v>209.69697600000001</v>
      </c>
      <c r="U569" s="301">
        <v>2.3451178451178452</v>
      </c>
      <c r="V569" s="2">
        <v>211904</v>
      </c>
      <c r="W569" s="27">
        <v>0.187</v>
      </c>
      <c r="X569" s="2">
        <v>2384</v>
      </c>
      <c r="Y569" s="2">
        <v>223228</v>
      </c>
      <c r="Z569" s="27">
        <v>0.223</v>
      </c>
      <c r="AA569" s="14">
        <v>1905.45</v>
      </c>
      <c r="AB569" s="2">
        <v>172587</v>
      </c>
      <c r="AC569" s="27">
        <v>0.151</v>
      </c>
      <c r="AD569" s="14">
        <v>1949.09</v>
      </c>
      <c r="AE569" s="27">
        <v>-0.186</v>
      </c>
    </row>
    <row r="570" spans="1:31" x14ac:dyDescent="0.3">
      <c r="A570" t="s">
        <v>1768</v>
      </c>
      <c r="B570" s="2">
        <v>165</v>
      </c>
      <c r="C570" s="301">
        <v>0.12359550561797752</v>
      </c>
      <c r="D570" s="2">
        <v>40</v>
      </c>
      <c r="E570" s="2">
        <v>210</v>
      </c>
      <c r="F570" s="301">
        <v>0.15184381778741865</v>
      </c>
      <c r="G570" s="14">
        <v>56.969696969696898</v>
      </c>
      <c r="H570" s="2">
        <v>713</v>
      </c>
      <c r="I570" s="301">
        <v>0.15225282938287424</v>
      </c>
      <c r="J570" s="14">
        <v>150.30302399999999</v>
      </c>
      <c r="K570" s="301">
        <v>3.3212121212121213</v>
      </c>
      <c r="L570" s="2">
        <v>256</v>
      </c>
      <c r="M570" s="301">
        <v>9.853733641262509E-2</v>
      </c>
      <c r="N570" s="2">
        <v>50.303030303030297</v>
      </c>
      <c r="O570" s="2">
        <v>267</v>
      </c>
      <c r="P570" s="301">
        <v>0.12054176072234762</v>
      </c>
      <c r="Q570" s="14">
        <v>61.212121212121197</v>
      </c>
      <c r="R570" s="2">
        <v>1030</v>
      </c>
      <c r="S570" s="301">
        <v>0.13416699231470627</v>
      </c>
      <c r="T570" s="14">
        <v>171.515152</v>
      </c>
      <c r="U570" s="301">
        <v>3.0234375</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1822</v>
      </c>
      <c r="B571" s="2">
        <v>135</v>
      </c>
      <c r="C571" s="301">
        <v>0.10112359550561797</v>
      </c>
      <c r="D571" s="2">
        <v>39.393939393939398</v>
      </c>
      <c r="E571" s="2">
        <v>201</v>
      </c>
      <c r="F571" s="301">
        <v>0.14533622559652928</v>
      </c>
      <c r="G571" s="14">
        <v>56.969696969696898</v>
      </c>
      <c r="H571" s="2">
        <v>636</v>
      </c>
      <c r="I571" s="301">
        <v>0.13581037796284434</v>
      </c>
      <c r="J571" s="14">
        <v>146.66667200000001</v>
      </c>
      <c r="K571" s="301">
        <v>3.7111111111111112</v>
      </c>
      <c r="L571" s="2">
        <v>214</v>
      </c>
      <c r="M571" s="301">
        <v>8.2371054657428791E-2</v>
      </c>
      <c r="N571" s="2">
        <v>47.878787878787797</v>
      </c>
      <c r="O571" s="2">
        <v>237</v>
      </c>
      <c r="P571" s="301">
        <v>0.10699774266365689</v>
      </c>
      <c r="Q571" s="14">
        <v>60</v>
      </c>
      <c r="R571" s="2">
        <v>866</v>
      </c>
      <c r="S571" s="301">
        <v>0.11280448091702489</v>
      </c>
      <c r="T571" s="14">
        <v>168.484848</v>
      </c>
      <c r="U571" s="301">
        <v>3.0467289719626169</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1823</v>
      </c>
      <c r="B572" s="2">
        <v>22</v>
      </c>
      <c r="C572" s="301">
        <v>1.647940074906367E-2</v>
      </c>
      <c r="D572" s="2">
        <v>15.757575757575699</v>
      </c>
      <c r="E572" s="2">
        <v>14</v>
      </c>
      <c r="F572" s="301">
        <v>1.012292118582791E-2</v>
      </c>
      <c r="G572" s="14">
        <v>13.9393939393939</v>
      </c>
      <c r="H572" s="2">
        <v>0</v>
      </c>
      <c r="I572" s="301">
        <v>0</v>
      </c>
      <c r="J572" s="14">
        <v>18.787877999999999</v>
      </c>
      <c r="K572" s="301">
        <v>-1</v>
      </c>
      <c r="L572" s="2">
        <v>37</v>
      </c>
      <c r="M572" s="301">
        <v>1.424172440338722E-2</v>
      </c>
      <c r="N572" s="2">
        <v>19.393939393939299</v>
      </c>
      <c r="O572" s="2">
        <v>14</v>
      </c>
      <c r="P572" s="301">
        <v>6.3205417607223478E-3</v>
      </c>
      <c r="Q572" s="14">
        <v>13.9393939393939</v>
      </c>
      <c r="R572" s="2">
        <v>30</v>
      </c>
      <c r="S572" s="301">
        <v>3.9077764751856191E-3</v>
      </c>
      <c r="T572" s="14">
        <v>20.606059999999999</v>
      </c>
      <c r="U572" s="301">
        <v>-0.1891891891891892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1824</v>
      </c>
      <c r="B573" s="2">
        <v>35</v>
      </c>
      <c r="C573" s="301">
        <v>2.6217228464419477E-2</v>
      </c>
      <c r="D573" s="2">
        <v>27.878787878787801</v>
      </c>
      <c r="E573" s="2">
        <v>68</v>
      </c>
      <c r="F573" s="301">
        <v>4.9168474331164135E-2</v>
      </c>
      <c r="G573" s="14">
        <v>35.757575757575701</v>
      </c>
      <c r="H573" s="2">
        <v>377</v>
      </c>
      <c r="I573" s="301">
        <v>8.050395045910741E-2</v>
      </c>
      <c r="J573" s="14">
        <v>115.757576</v>
      </c>
      <c r="K573" s="301">
        <v>9.7714285714285722</v>
      </c>
      <c r="L573" s="2">
        <v>43</v>
      </c>
      <c r="M573" s="301">
        <v>1.6551193225558123E-2</v>
      </c>
      <c r="N573" s="2">
        <v>29.090909090909101</v>
      </c>
      <c r="O573" s="2">
        <v>71</v>
      </c>
      <c r="P573" s="301">
        <v>3.2054176072234764E-2</v>
      </c>
      <c r="Q573" s="14">
        <v>35.757575757575701</v>
      </c>
      <c r="R573" s="2">
        <v>569</v>
      </c>
      <c r="S573" s="301">
        <v>7.4117493812687243E-2</v>
      </c>
      <c r="T573" s="14">
        <v>135.15152</v>
      </c>
      <c r="U573" s="301">
        <v>12.232558139534884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1825</v>
      </c>
      <c r="B574" s="2">
        <v>78</v>
      </c>
      <c r="C574" s="301">
        <v>5.8426966292134834E-2</v>
      </c>
      <c r="D574" s="2">
        <v>25.4545454545454</v>
      </c>
      <c r="E574" s="2">
        <v>119</v>
      </c>
      <c r="F574" s="301">
        <v>8.6044830079537241E-2</v>
      </c>
      <c r="G574" s="14">
        <v>42.424242424242401</v>
      </c>
      <c r="H574" s="2">
        <v>259</v>
      </c>
      <c r="I574" s="301">
        <v>5.5306427503736919E-2</v>
      </c>
      <c r="J574" s="14">
        <v>75.757576</v>
      </c>
      <c r="K574" s="301">
        <v>2.3205128205128207</v>
      </c>
      <c r="L574" s="2">
        <v>134</v>
      </c>
      <c r="M574" s="301">
        <v>5.1578137028483448E-2</v>
      </c>
      <c r="N574" s="2">
        <v>39.393939393939398</v>
      </c>
      <c r="O574" s="2">
        <v>152</v>
      </c>
      <c r="P574" s="301">
        <v>6.8623024830699778E-2</v>
      </c>
      <c r="Q574" s="14">
        <v>46.060606060605998</v>
      </c>
      <c r="R574" s="2">
        <v>267</v>
      </c>
      <c r="S574" s="301">
        <v>3.4779210629152013E-2</v>
      </c>
      <c r="T574" s="14">
        <v>76.363640000000004</v>
      </c>
      <c r="U574" s="301">
        <v>0.9925373134328358</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1826</v>
      </c>
      <c r="B575" s="2">
        <v>30</v>
      </c>
      <c r="C575" s="301">
        <v>2.247191011235955E-2</v>
      </c>
      <c r="D575" s="2">
        <v>18.7878787878787</v>
      </c>
      <c r="E575" s="2">
        <v>9</v>
      </c>
      <c r="F575" s="301">
        <v>6.5075921908893707E-3</v>
      </c>
      <c r="G575" s="14">
        <v>9.6969696969696901</v>
      </c>
      <c r="H575" s="2">
        <v>77</v>
      </c>
      <c r="I575" s="301">
        <v>1.6442451420029897E-2</v>
      </c>
      <c r="J575" s="14">
        <v>26.666665999999999</v>
      </c>
      <c r="K575" s="301">
        <v>1.5666666666666667</v>
      </c>
      <c r="L575" s="2">
        <v>42</v>
      </c>
      <c r="M575" s="301">
        <v>1.6166281755196306E-2</v>
      </c>
      <c r="N575" s="2">
        <v>22.424242424242401</v>
      </c>
      <c r="O575" s="2">
        <v>30</v>
      </c>
      <c r="P575" s="301">
        <v>1.3544018058690745E-2</v>
      </c>
      <c r="Q575" s="14">
        <v>18.7878787878787</v>
      </c>
      <c r="R575" s="2">
        <v>164</v>
      </c>
      <c r="S575" s="301">
        <v>2.1362511397681385E-2</v>
      </c>
      <c r="T575" s="14">
        <v>40</v>
      </c>
      <c r="U575" s="301">
        <v>2.9047619047619047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1769</v>
      </c>
      <c r="B576" s="2">
        <v>189</v>
      </c>
      <c r="C576" s="301">
        <v>0.14157303370786517</v>
      </c>
      <c r="D576" s="2">
        <v>63.030303030303003</v>
      </c>
      <c r="E576" s="2">
        <v>144</v>
      </c>
      <c r="F576" s="301">
        <v>0.10412147505422993</v>
      </c>
      <c r="G576" s="14">
        <v>52.727272727272698</v>
      </c>
      <c r="H576" s="2">
        <v>743</v>
      </c>
      <c r="I576" s="301">
        <v>0.15865897928678196</v>
      </c>
      <c r="J576" s="14">
        <v>128.484848</v>
      </c>
      <c r="K576" s="301">
        <v>2.9312169312169312</v>
      </c>
      <c r="L576" s="2">
        <v>338</v>
      </c>
      <c r="M576" s="301">
        <v>0.13010007698229406</v>
      </c>
      <c r="N576" s="2">
        <v>87.878787878787904</v>
      </c>
      <c r="O576" s="2">
        <v>169</v>
      </c>
      <c r="P576" s="301">
        <v>7.6297968397291194E-2</v>
      </c>
      <c r="Q576" s="14">
        <v>52.727272727272698</v>
      </c>
      <c r="R576" s="2">
        <v>957</v>
      </c>
      <c r="S576" s="301">
        <v>0.12465806955842126</v>
      </c>
      <c r="T576" s="14">
        <v>139.393936</v>
      </c>
      <c r="U576" s="301">
        <v>1.831360946745562</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1770</v>
      </c>
      <c r="B577" s="2">
        <v>17</v>
      </c>
      <c r="C577" s="301">
        <v>1.2734082397003745E-2</v>
      </c>
      <c r="D577" s="2">
        <v>15.757575757575699</v>
      </c>
      <c r="E577" s="2">
        <v>17</v>
      </c>
      <c r="F577" s="301">
        <v>1.2292118582791034E-2</v>
      </c>
      <c r="G577" s="14">
        <v>13.3333333333333</v>
      </c>
      <c r="H577" s="2">
        <v>178</v>
      </c>
      <c r="I577" s="301">
        <v>3.8009822763185992E-2</v>
      </c>
      <c r="J577" s="14">
        <v>71.515150000000006</v>
      </c>
      <c r="K577" s="301">
        <v>9.4705882352941178</v>
      </c>
      <c r="L577" s="2">
        <v>58</v>
      </c>
      <c r="M577" s="301">
        <v>2.2324865280985373E-2</v>
      </c>
      <c r="N577" s="2">
        <v>33.3333333333333</v>
      </c>
      <c r="O577" s="2">
        <v>42</v>
      </c>
      <c r="P577" s="301">
        <v>1.8961625282167043E-2</v>
      </c>
      <c r="Q577" s="14">
        <v>18.7878787878787</v>
      </c>
      <c r="R577" s="2">
        <v>209</v>
      </c>
      <c r="S577" s="301">
        <v>2.7224176110459814E-2</v>
      </c>
      <c r="T577" s="14">
        <v>72.121215800000002</v>
      </c>
      <c r="U577" s="301">
        <v>2.603448275862069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1827</v>
      </c>
      <c r="B578" s="2">
        <v>0</v>
      </c>
      <c r="C578" s="301">
        <v>0</v>
      </c>
      <c r="D578" s="2">
        <v>80</v>
      </c>
      <c r="E578" s="2">
        <v>17</v>
      </c>
      <c r="F578" s="301">
        <v>1.2292118582791034E-2</v>
      </c>
      <c r="G578" s="14">
        <v>13.3333333333333</v>
      </c>
      <c r="H578" s="2">
        <v>178</v>
      </c>
      <c r="I578" s="301">
        <v>3.8009822763185992E-2</v>
      </c>
      <c r="J578" s="14">
        <v>71.515150000000006</v>
      </c>
      <c r="L578" s="2">
        <v>41</v>
      </c>
      <c r="M578" s="301">
        <v>1.5781370284834489E-2</v>
      </c>
      <c r="N578" s="2">
        <v>29.090909090909101</v>
      </c>
      <c r="O578" s="2">
        <v>24</v>
      </c>
      <c r="P578" s="301">
        <v>1.0835214446952596E-2</v>
      </c>
      <c r="Q578" s="14">
        <v>15.151515151515101</v>
      </c>
      <c r="R578" s="2">
        <v>189</v>
      </c>
      <c r="S578" s="301">
        <v>2.4618991793669401E-2</v>
      </c>
      <c r="T578" s="14">
        <v>73.333335899999994</v>
      </c>
      <c r="U578" s="301">
        <v>3.6097560975609757</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1828</v>
      </c>
      <c r="B579" s="2">
        <v>0</v>
      </c>
      <c r="C579" s="301">
        <v>0</v>
      </c>
      <c r="D579" s="2">
        <v>80</v>
      </c>
      <c r="E579" s="2">
        <v>6</v>
      </c>
      <c r="F579" s="301">
        <v>4.3383947939262474E-3</v>
      </c>
      <c r="G579" s="14">
        <v>6.0606060606060597</v>
      </c>
      <c r="H579" s="2">
        <v>41</v>
      </c>
      <c r="I579" s="301">
        <v>8.7550715353405945E-3</v>
      </c>
      <c r="J579" s="14">
        <v>29.090910000000001</v>
      </c>
      <c r="L579" s="2">
        <v>0</v>
      </c>
      <c r="M579" s="301">
        <v>0</v>
      </c>
      <c r="N579" s="2">
        <v>80</v>
      </c>
      <c r="O579" s="2">
        <v>6</v>
      </c>
      <c r="P579" s="301">
        <v>2.7088036117381489E-3</v>
      </c>
      <c r="Q579" s="14">
        <v>6.0606060606060597</v>
      </c>
      <c r="R579" s="2">
        <v>41</v>
      </c>
      <c r="S579" s="301">
        <v>5.3406278494203463E-3</v>
      </c>
      <c r="T579" s="14">
        <v>29.090910000000001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1829</v>
      </c>
      <c r="B580" s="2">
        <v>0</v>
      </c>
      <c r="C580" s="301">
        <v>0</v>
      </c>
      <c r="D580" s="2">
        <v>80</v>
      </c>
      <c r="E580" s="2">
        <v>11</v>
      </c>
      <c r="F580" s="301">
        <v>7.9537237888647871E-3</v>
      </c>
      <c r="G580" s="14">
        <v>11.5151515151515</v>
      </c>
      <c r="H580" s="2">
        <v>74</v>
      </c>
      <c r="I580" s="301">
        <v>1.5801836429639119E-2</v>
      </c>
      <c r="J580" s="14">
        <v>57.5757561</v>
      </c>
      <c r="L580" s="2">
        <v>0</v>
      </c>
      <c r="M580" s="301">
        <v>0</v>
      </c>
      <c r="N580" s="2">
        <v>80</v>
      </c>
      <c r="O580" s="2">
        <v>11</v>
      </c>
      <c r="P580" s="301">
        <v>4.9661399548532733E-3</v>
      </c>
      <c r="Q580" s="14">
        <v>11.5151515151515</v>
      </c>
      <c r="R580" s="2">
        <v>85</v>
      </c>
      <c r="S580" s="301">
        <v>1.1072033346359256E-2</v>
      </c>
      <c r="T580" s="14">
        <v>58.787880000000001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1830</v>
      </c>
      <c r="B581" s="2">
        <v>0</v>
      </c>
      <c r="C581" s="301">
        <v>0</v>
      </c>
      <c r="D581" s="2">
        <v>80</v>
      </c>
      <c r="E581" s="2">
        <v>0</v>
      </c>
      <c r="F581" s="301">
        <v>0</v>
      </c>
      <c r="G581" s="14">
        <v>16.969696969696901</v>
      </c>
      <c r="H581" s="2">
        <v>63</v>
      </c>
      <c r="I581" s="301">
        <v>1.3452914798206279E-2</v>
      </c>
      <c r="J581" s="14">
        <v>32.121212</v>
      </c>
      <c r="L581" s="2">
        <v>41</v>
      </c>
      <c r="M581" s="301">
        <v>1.5781370284834489E-2</v>
      </c>
      <c r="N581" s="2">
        <v>29.090909090909101</v>
      </c>
      <c r="O581" s="2">
        <v>7</v>
      </c>
      <c r="P581" s="301">
        <v>3.1602708803611739E-3</v>
      </c>
      <c r="Q581" s="14">
        <v>7.2727272727272698</v>
      </c>
      <c r="R581" s="2">
        <v>63</v>
      </c>
      <c r="S581" s="301">
        <v>8.2063305978898014E-3</v>
      </c>
      <c r="T581" s="14">
        <v>32.121212</v>
      </c>
      <c r="U581" s="301">
        <v>0.53658536585365857</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1831</v>
      </c>
      <c r="B582" s="2">
        <v>17</v>
      </c>
      <c r="C582" s="301">
        <v>1.2734082397003745E-2</v>
      </c>
      <c r="D582" s="2">
        <v>15.757575757575699</v>
      </c>
      <c r="E582" s="2">
        <v>0</v>
      </c>
      <c r="F582" s="301">
        <v>0</v>
      </c>
      <c r="G582" s="14">
        <v>16.969696969696901</v>
      </c>
      <c r="H582" s="2">
        <v>0</v>
      </c>
      <c r="I582" s="301">
        <v>0</v>
      </c>
      <c r="J582" s="14">
        <v>18.787877999999999</v>
      </c>
      <c r="K582" s="301">
        <v>-1</v>
      </c>
      <c r="L582" s="2">
        <v>17</v>
      </c>
      <c r="M582" s="301">
        <v>6.5434949961508853E-3</v>
      </c>
      <c r="N582" s="2">
        <v>15.757575757575699</v>
      </c>
      <c r="O582" s="2">
        <v>18</v>
      </c>
      <c r="P582" s="301">
        <v>8.1264108352144468E-3</v>
      </c>
      <c r="Q582" s="14">
        <v>12.7272727272727</v>
      </c>
      <c r="R582" s="2">
        <v>20</v>
      </c>
      <c r="S582" s="301">
        <v>2.6051843167904129E-3</v>
      </c>
      <c r="T582" s="14">
        <v>17.575758</v>
      </c>
      <c r="U582" s="301">
        <v>0.17647058823529413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1771</v>
      </c>
      <c r="B583" s="2">
        <v>172</v>
      </c>
      <c r="C583" s="301">
        <v>0.12883895131086143</v>
      </c>
      <c r="D583" s="2">
        <v>62.424242424242401</v>
      </c>
      <c r="E583" s="2">
        <v>127</v>
      </c>
      <c r="F583" s="301">
        <v>9.1829356471438903E-2</v>
      </c>
      <c r="G583" s="14">
        <v>50.303030303030297</v>
      </c>
      <c r="H583" s="2">
        <v>565</v>
      </c>
      <c r="I583" s="301">
        <v>0.12064915652359598</v>
      </c>
      <c r="J583" s="14">
        <v>110.303032</v>
      </c>
      <c r="K583" s="301">
        <v>2.2848837209302326</v>
      </c>
      <c r="L583" s="2">
        <v>280</v>
      </c>
      <c r="M583" s="301">
        <v>0.1077752117013087</v>
      </c>
      <c r="N583" s="2">
        <v>83.030303030303003</v>
      </c>
      <c r="O583" s="2">
        <v>127</v>
      </c>
      <c r="P583" s="301">
        <v>5.7336343115124151E-2</v>
      </c>
      <c r="Q583" s="14">
        <v>50.303030303030297</v>
      </c>
      <c r="R583" s="2">
        <v>748</v>
      </c>
      <c r="S583" s="301">
        <v>9.7433893447961439E-2</v>
      </c>
      <c r="T583" s="14">
        <v>132.72728000000001</v>
      </c>
      <c r="U583" s="301">
        <v>1.6714285714285715</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1827</v>
      </c>
      <c r="B584" s="2">
        <v>172</v>
      </c>
      <c r="C584" s="301">
        <v>0.12883895131086143</v>
      </c>
      <c r="D584" s="2">
        <v>62.424242424242401</v>
      </c>
      <c r="E584" s="2">
        <v>106</v>
      </c>
      <c r="F584" s="301">
        <v>7.6644974692697029E-2</v>
      </c>
      <c r="G584" s="2">
        <v>46.060606060605998</v>
      </c>
      <c r="H584" s="2">
        <v>507</v>
      </c>
      <c r="I584" s="301">
        <v>0.108263933376041</v>
      </c>
      <c r="J584" s="14">
        <v>115.757576</v>
      </c>
      <c r="K584" s="301">
        <v>1.9476744186046511</v>
      </c>
      <c r="L584" s="2">
        <v>280</v>
      </c>
      <c r="M584" s="301">
        <v>0.1077752117013087</v>
      </c>
      <c r="N584" s="2">
        <v>83.030303030303003</v>
      </c>
      <c r="O584" s="2">
        <v>106</v>
      </c>
      <c r="P584" s="301">
        <v>4.7855530474040633E-2</v>
      </c>
      <c r="Q584" s="2">
        <v>46.060606060605998</v>
      </c>
      <c r="R584" s="2">
        <v>682</v>
      </c>
      <c r="S584" s="301">
        <v>8.8836785202553087E-2</v>
      </c>
      <c r="T584" s="14">
        <v>139.393936</v>
      </c>
      <c r="U584" s="301">
        <v>1.4357142857142857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1828</v>
      </c>
      <c r="B585" s="2">
        <v>36</v>
      </c>
      <c r="C585" s="301">
        <v>2.6966292134831461E-2</v>
      </c>
      <c r="D585" s="2">
        <v>27.272727272727199</v>
      </c>
      <c r="E585" s="2">
        <v>0</v>
      </c>
      <c r="F585" s="301">
        <v>0</v>
      </c>
      <c r="G585" s="14">
        <v>16.969696969696901</v>
      </c>
      <c r="H585" s="2">
        <v>108</v>
      </c>
      <c r="I585" s="301">
        <v>2.3062139654067906E-2</v>
      </c>
      <c r="J585" s="14">
        <v>47.878788</v>
      </c>
      <c r="K585" s="301">
        <v>2</v>
      </c>
      <c r="L585" s="2">
        <v>61</v>
      </c>
      <c r="M585" s="301">
        <v>2.3479599692070825E-2</v>
      </c>
      <c r="N585" s="2">
        <v>33.3333333333333</v>
      </c>
      <c r="O585" s="2">
        <v>0</v>
      </c>
      <c r="P585" s="301">
        <v>0</v>
      </c>
      <c r="Q585" s="14">
        <v>16.969696969696901</v>
      </c>
      <c r="R585" s="2">
        <v>127</v>
      </c>
      <c r="S585" s="301">
        <v>1.6542920411619123E-2</v>
      </c>
      <c r="T585" s="14">
        <v>50.303031900000001</v>
      </c>
      <c r="U585" s="301">
        <v>1.0819672131147542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1829</v>
      </c>
      <c r="B586" s="2">
        <v>74</v>
      </c>
      <c r="C586" s="301">
        <v>5.5430711610486891E-2</v>
      </c>
      <c r="D586" s="2">
        <v>41.212121212121197</v>
      </c>
      <c r="E586" s="2">
        <v>22</v>
      </c>
      <c r="F586" s="301">
        <v>1.5907447577729574E-2</v>
      </c>
      <c r="G586" s="14">
        <v>21.2121212121212</v>
      </c>
      <c r="H586" s="2">
        <v>207</v>
      </c>
      <c r="I586" s="301">
        <v>4.4202434336963484E-2</v>
      </c>
      <c r="J586" s="14">
        <v>74.545455899999993</v>
      </c>
      <c r="K586" s="301">
        <v>1.7972972972972974</v>
      </c>
      <c r="L586" s="2">
        <v>92</v>
      </c>
      <c r="M586" s="301">
        <v>3.5411855273287142E-2</v>
      </c>
      <c r="N586" s="2">
        <v>43.636363636363598</v>
      </c>
      <c r="O586" s="2">
        <v>22</v>
      </c>
      <c r="P586" s="301">
        <v>9.9322799097065467E-3</v>
      </c>
      <c r="Q586" s="14">
        <v>21.2121212121212</v>
      </c>
      <c r="R586" s="2">
        <v>305</v>
      </c>
      <c r="S586" s="301">
        <v>3.9729060831053799E-2</v>
      </c>
      <c r="T586" s="14">
        <v>96.363640000000004</v>
      </c>
      <c r="U586" s="301">
        <v>2.3152173913043477</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1830</v>
      </c>
      <c r="B587" s="2">
        <v>62</v>
      </c>
      <c r="C587" s="301">
        <v>4.6441947565543068E-2</v>
      </c>
      <c r="D587" s="2">
        <v>34.545454545454497</v>
      </c>
      <c r="E587" s="2">
        <v>84</v>
      </c>
      <c r="F587" s="301">
        <v>6.0737527114967459E-2</v>
      </c>
      <c r="G587" s="14">
        <v>40.606060606060602</v>
      </c>
      <c r="H587" s="2">
        <v>192</v>
      </c>
      <c r="I587" s="301">
        <v>4.0999359385009607E-2</v>
      </c>
      <c r="J587" s="14">
        <v>63.030304000000001</v>
      </c>
      <c r="K587" s="301">
        <v>2.096774193548387</v>
      </c>
      <c r="L587" s="2">
        <v>127</v>
      </c>
      <c r="M587" s="301">
        <v>4.8883756735950731E-2</v>
      </c>
      <c r="N587" s="2">
        <v>60.606060606060602</v>
      </c>
      <c r="O587" s="2">
        <v>84</v>
      </c>
      <c r="P587" s="301">
        <v>3.7923250564334085E-2</v>
      </c>
      <c r="Q587" s="14">
        <v>40.606060606060602</v>
      </c>
      <c r="R587" s="2">
        <v>250</v>
      </c>
      <c r="S587" s="301">
        <v>3.2564803959880165E-2</v>
      </c>
      <c r="T587" s="14">
        <v>69.696969999999993</v>
      </c>
      <c r="U587" s="301">
        <v>0.96850393700787396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1831</v>
      </c>
      <c r="B588" s="2">
        <v>0</v>
      </c>
      <c r="C588" s="301">
        <v>0</v>
      </c>
      <c r="D588" s="2">
        <v>80</v>
      </c>
      <c r="E588" s="2">
        <v>21</v>
      </c>
      <c r="F588" s="301">
        <v>1.5184381778741865E-2</v>
      </c>
      <c r="G588" s="2">
        <v>14.545454545454501</v>
      </c>
      <c r="H588" s="2">
        <v>58</v>
      </c>
      <c r="I588" s="301">
        <v>1.2385223147554986E-2</v>
      </c>
      <c r="J588" s="14">
        <v>30.909089999999999</v>
      </c>
      <c r="L588" s="2">
        <v>0</v>
      </c>
      <c r="M588" s="301">
        <v>0</v>
      </c>
      <c r="N588" s="2">
        <v>80</v>
      </c>
      <c r="O588" s="2">
        <v>21</v>
      </c>
      <c r="P588" s="301">
        <v>9.4808126410835213E-3</v>
      </c>
      <c r="Q588" s="2">
        <v>14.545454545454501</v>
      </c>
      <c r="R588" s="2">
        <v>66</v>
      </c>
      <c r="S588" s="301">
        <v>8.5971082454083629E-3</v>
      </c>
      <c r="T588" s="14">
        <v>34.5454559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1820</v>
      </c>
      <c r="B589" s="2">
        <v>981</v>
      </c>
      <c r="C589" s="301">
        <v>0.73483146067415728</v>
      </c>
      <c r="D589" s="2">
        <v>124.84848484848401</v>
      </c>
      <c r="E589" s="2">
        <v>1029</v>
      </c>
      <c r="F589" s="301">
        <v>0.7440347071583514</v>
      </c>
      <c r="G589" s="14">
        <v>132.72727272727201</v>
      </c>
      <c r="H589" s="2">
        <v>3227</v>
      </c>
      <c r="I589" s="301">
        <v>0.68908819133034382</v>
      </c>
      <c r="J589" s="14">
        <v>302.42425500000002</v>
      </c>
      <c r="K589" s="301">
        <v>2.2895005096839958</v>
      </c>
      <c r="L589" s="2">
        <v>2004</v>
      </c>
      <c r="M589" s="301">
        <v>0.77136258660508084</v>
      </c>
      <c r="N589" s="2">
        <v>168.48484848484799</v>
      </c>
      <c r="O589" s="2">
        <v>1779</v>
      </c>
      <c r="P589" s="301">
        <v>0.80316027088036113</v>
      </c>
      <c r="Q589" s="14">
        <v>170.30303030303</v>
      </c>
      <c r="R589" s="2">
        <v>5690</v>
      </c>
      <c r="S589" s="301">
        <v>0.74117493812687252</v>
      </c>
      <c r="T589" s="14">
        <v>382.42425500000002</v>
      </c>
      <c r="U589" s="301">
        <v>1.8393213572854292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1768</v>
      </c>
      <c r="B590" s="2">
        <v>654</v>
      </c>
      <c r="C590" s="301">
        <v>0.48988764044943822</v>
      </c>
      <c r="D590" s="2">
        <v>98.181818181818201</v>
      </c>
      <c r="E590" s="2">
        <v>774</v>
      </c>
      <c r="F590" s="301">
        <v>0.55965292841648595</v>
      </c>
      <c r="G590" s="14">
        <v>112.72727272727199</v>
      </c>
      <c r="H590" s="2">
        <v>2229</v>
      </c>
      <c r="I590" s="301">
        <v>0.47597693786034595</v>
      </c>
      <c r="J590" s="14">
        <v>257.57574499999998</v>
      </c>
      <c r="K590" s="301">
        <v>2.4082568807339451</v>
      </c>
      <c r="L590" s="2">
        <v>1463</v>
      </c>
      <c r="M590" s="301">
        <v>0.56312548113933791</v>
      </c>
      <c r="N590" s="2">
        <v>147.272727272727</v>
      </c>
      <c r="O590" s="2">
        <v>1371</v>
      </c>
      <c r="P590" s="301">
        <v>0.61896162528216703</v>
      </c>
      <c r="Q590" s="14">
        <v>146.666666666666</v>
      </c>
      <c r="R590" s="2">
        <v>4241</v>
      </c>
      <c r="S590" s="301">
        <v>0.55242933437540709</v>
      </c>
      <c r="T590" s="14">
        <v>326.06060000000002</v>
      </c>
      <c r="U590" s="301">
        <v>1.8988380041011621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1822</v>
      </c>
      <c r="B591" s="2">
        <v>436</v>
      </c>
      <c r="C591" s="301">
        <v>0.32659176029962544</v>
      </c>
      <c r="D591" s="2">
        <v>76.363636363636303</v>
      </c>
      <c r="E591" s="2">
        <v>448</v>
      </c>
      <c r="F591" s="301">
        <v>0.32393347794649313</v>
      </c>
      <c r="G591" s="14">
        <v>96.969696969696898</v>
      </c>
      <c r="H591" s="2">
        <v>1562</v>
      </c>
      <c r="I591" s="301">
        <v>0.33354687166346358</v>
      </c>
      <c r="J591" s="14">
        <v>236.363632</v>
      </c>
      <c r="K591" s="301">
        <v>2.5825688073394497</v>
      </c>
      <c r="L591" s="2">
        <v>961</v>
      </c>
      <c r="M591" s="301">
        <v>0.36989992301770591</v>
      </c>
      <c r="N591" s="2">
        <v>130.90909090909</v>
      </c>
      <c r="O591" s="2">
        <v>727</v>
      </c>
      <c r="P591" s="301">
        <v>0.32821670428893907</v>
      </c>
      <c r="Q591" s="14">
        <v>119.39393939393899</v>
      </c>
      <c r="R591" s="2">
        <v>2824</v>
      </c>
      <c r="S591" s="301">
        <v>0.36785202553080631</v>
      </c>
      <c r="T591" s="14">
        <v>315.15152</v>
      </c>
      <c r="U591" s="301">
        <v>1.9386056191467222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1823</v>
      </c>
      <c r="B592" s="2">
        <v>46</v>
      </c>
      <c r="C592" s="301">
        <v>3.4456928838951309E-2</v>
      </c>
      <c r="D592" s="2">
        <v>25.4545454545454</v>
      </c>
      <c r="E592" s="2">
        <v>88</v>
      </c>
      <c r="F592" s="301">
        <v>6.3629790310918297E-2</v>
      </c>
      <c r="G592" s="14">
        <v>33.3333333333333</v>
      </c>
      <c r="H592" s="2">
        <v>229</v>
      </c>
      <c r="I592" s="301">
        <v>4.8900277599829171E-2</v>
      </c>
      <c r="J592" s="14">
        <v>76.363640000000004</v>
      </c>
      <c r="K592" s="301">
        <v>3.9782608695652173</v>
      </c>
      <c r="L592" s="2">
        <v>72</v>
      </c>
      <c r="M592" s="301">
        <v>2.771362586605081E-2</v>
      </c>
      <c r="N592" s="2">
        <v>31.515151515151501</v>
      </c>
      <c r="O592" s="2">
        <v>98</v>
      </c>
      <c r="P592" s="301">
        <v>4.424379232505643E-2</v>
      </c>
      <c r="Q592" s="14">
        <v>34.545454545454497</v>
      </c>
      <c r="R592" s="2">
        <v>446</v>
      </c>
      <c r="S592" s="301">
        <v>5.8095610264426209E-2</v>
      </c>
      <c r="T592" s="14">
        <v>121.21212</v>
      </c>
      <c r="U592" s="301">
        <v>5.1944444444444446</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1824</v>
      </c>
      <c r="B593" s="2">
        <v>132</v>
      </c>
      <c r="C593" s="301">
        <v>9.8876404494382023E-2</v>
      </c>
      <c r="D593" s="2">
        <v>41.212121212121197</v>
      </c>
      <c r="E593" s="2">
        <v>97</v>
      </c>
      <c r="F593" s="301">
        <v>7.0137382501807663E-2</v>
      </c>
      <c r="G593" s="14">
        <v>37.5757575757575</v>
      </c>
      <c r="H593" s="2">
        <v>747</v>
      </c>
      <c r="I593" s="301">
        <v>0.15951313260730302</v>
      </c>
      <c r="J593" s="14">
        <v>158.78787199999999</v>
      </c>
      <c r="K593" s="301">
        <v>4.6590909090909092</v>
      </c>
      <c r="L593" s="2">
        <v>324</v>
      </c>
      <c r="M593" s="301">
        <v>0.12471131639722864</v>
      </c>
      <c r="N593" s="2">
        <v>56.969696969696898</v>
      </c>
      <c r="O593" s="2">
        <v>156</v>
      </c>
      <c r="P593" s="301">
        <v>7.0428893905191872E-2</v>
      </c>
      <c r="Q593" s="14">
        <v>52.121212121212103</v>
      </c>
      <c r="R593" s="2">
        <v>1158</v>
      </c>
      <c r="S593" s="301">
        <v>0.1508401719421649</v>
      </c>
      <c r="T593" s="14">
        <v>211.515152</v>
      </c>
      <c r="U593" s="301">
        <v>2.574074074074074</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1825</v>
      </c>
      <c r="B594" s="2">
        <v>258</v>
      </c>
      <c r="C594" s="301">
        <v>0.19325842696629214</v>
      </c>
      <c r="D594" s="2">
        <v>59.393939393939398</v>
      </c>
      <c r="E594" s="2">
        <v>263</v>
      </c>
      <c r="F594" s="301">
        <v>0.19016630513376717</v>
      </c>
      <c r="G594" s="14">
        <v>79.393939393939405</v>
      </c>
      <c r="H594" s="2">
        <v>586</v>
      </c>
      <c r="I594" s="301">
        <v>0.12513346145633142</v>
      </c>
      <c r="J594" s="14">
        <v>152.72728000000001</v>
      </c>
      <c r="K594" s="301">
        <v>1.2713178294573644</v>
      </c>
      <c r="L594" s="2">
        <v>565</v>
      </c>
      <c r="M594" s="301">
        <v>0.21747498075442648</v>
      </c>
      <c r="N594" s="2">
        <v>101.818181818181</v>
      </c>
      <c r="O594" s="2">
        <v>473</v>
      </c>
      <c r="P594" s="301">
        <v>0.21354401805869075</v>
      </c>
      <c r="Q594" s="14">
        <v>93.3333333333333</v>
      </c>
      <c r="R594" s="2">
        <v>1220</v>
      </c>
      <c r="S594" s="301">
        <v>0.1589162433242152</v>
      </c>
      <c r="T594" s="14">
        <v>196.96969999999999</v>
      </c>
      <c r="U594" s="301">
        <v>1.1592920353982301</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1826</v>
      </c>
      <c r="B595" s="2">
        <v>218</v>
      </c>
      <c r="C595" s="301">
        <v>0.16329588014981272</v>
      </c>
      <c r="D595" s="2">
        <v>54.545454545454497</v>
      </c>
      <c r="E595" s="2">
        <v>326</v>
      </c>
      <c r="F595" s="301">
        <v>0.23571945046999276</v>
      </c>
      <c r="G595" s="14">
        <v>80.606060606060595</v>
      </c>
      <c r="H595" s="2">
        <v>667</v>
      </c>
      <c r="I595" s="301">
        <v>0.14243006619688234</v>
      </c>
      <c r="J595" s="14">
        <v>134.545456</v>
      </c>
      <c r="K595" s="301">
        <v>2.0596330275229358</v>
      </c>
      <c r="L595" s="2">
        <v>502</v>
      </c>
      <c r="M595" s="301">
        <v>0.19322555812163203</v>
      </c>
      <c r="N595" s="2">
        <v>85.454545454545396</v>
      </c>
      <c r="O595" s="2">
        <v>644</v>
      </c>
      <c r="P595" s="301">
        <v>0.29074492099322802</v>
      </c>
      <c r="Q595" s="14">
        <v>107.272727272727</v>
      </c>
      <c r="R595" s="2">
        <v>1417</v>
      </c>
      <c r="S595" s="301">
        <v>0.18457730884460075</v>
      </c>
      <c r="T595" s="14">
        <v>190.30302399999999</v>
      </c>
      <c r="U595" s="301">
        <v>1.8227091633466135</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1769</v>
      </c>
      <c r="B596" s="2">
        <v>327</v>
      </c>
      <c r="C596" s="301">
        <v>0.24494382022471911</v>
      </c>
      <c r="D596" s="2">
        <v>69.090909090909093</v>
      </c>
      <c r="E596" s="2">
        <v>255</v>
      </c>
      <c r="F596" s="301">
        <v>0.18438177874186551</v>
      </c>
      <c r="G596" s="14">
        <v>73.939393939393895</v>
      </c>
      <c r="H596" s="2">
        <v>998</v>
      </c>
      <c r="I596" s="301">
        <v>0.21311125346999787</v>
      </c>
      <c r="J596" s="14">
        <v>156.96969999999999</v>
      </c>
      <c r="K596" s="301">
        <v>2.0519877675840981</v>
      </c>
      <c r="L596" s="2">
        <v>541</v>
      </c>
      <c r="M596" s="301">
        <v>0.20823710546574287</v>
      </c>
      <c r="N596" s="2">
        <v>82.424242424242394</v>
      </c>
      <c r="O596" s="2">
        <v>408</v>
      </c>
      <c r="P596" s="301">
        <v>0.18419864559819413</v>
      </c>
      <c r="Q596" s="14">
        <v>83.030303030303003</v>
      </c>
      <c r="R596" s="2">
        <v>1449</v>
      </c>
      <c r="S596" s="301">
        <v>0.18874560375146543</v>
      </c>
      <c r="T596" s="14">
        <v>192.72728000000001</v>
      </c>
      <c r="U596" s="301">
        <v>1.6783733826247689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1770</v>
      </c>
      <c r="B597" s="2">
        <v>90</v>
      </c>
      <c r="C597" s="301">
        <v>6.741573033707865E-2</v>
      </c>
      <c r="D597" s="2">
        <v>34.545454545454497</v>
      </c>
      <c r="E597" s="2">
        <v>90</v>
      </c>
      <c r="F597" s="301">
        <v>6.5075921908893705E-2</v>
      </c>
      <c r="G597" s="14">
        <v>35.757575757575701</v>
      </c>
      <c r="H597" s="2">
        <v>421</v>
      </c>
      <c r="I597" s="301">
        <v>8.9899636984838785E-2</v>
      </c>
      <c r="J597" s="14">
        <v>92.727270000000004</v>
      </c>
      <c r="K597" s="301">
        <v>3.6777777777777776</v>
      </c>
      <c r="L597" s="2">
        <v>165</v>
      </c>
      <c r="M597" s="301">
        <v>6.3510392609699776E-2</v>
      </c>
      <c r="N597" s="2">
        <v>50.909090909090899</v>
      </c>
      <c r="O597" s="2">
        <v>184</v>
      </c>
      <c r="P597" s="301">
        <v>8.3069977426636563E-2</v>
      </c>
      <c r="Q597" s="14">
        <v>48.484848484848399</v>
      </c>
      <c r="R597" s="2">
        <v>609</v>
      </c>
      <c r="S597" s="301">
        <v>7.9327862446268077E-2</v>
      </c>
      <c r="T597" s="14">
        <v>110.303032</v>
      </c>
      <c r="U597" s="301">
        <v>2.6909090909090909</v>
      </c>
      <c r="V597" s="2">
        <v>118050</v>
      </c>
      <c r="W597" s="27">
        <v>0.104</v>
      </c>
      <c r="X597" s="2">
        <v>1491</v>
      </c>
      <c r="Y597" s="2">
        <v>106727</v>
      </c>
      <c r="Z597" s="27">
        <v>0.107</v>
      </c>
      <c r="AA597" s="14">
        <v>1426.06</v>
      </c>
      <c r="AB597" s="2">
        <v>131667</v>
      </c>
      <c r="AC597" s="27">
        <v>0.115</v>
      </c>
      <c r="AD597" s="14">
        <v>1692.73</v>
      </c>
      <c r="AE597" s="27">
        <v>0.115</v>
      </c>
    </row>
    <row r="598" spans="1:31" x14ac:dyDescent="0.3">
      <c r="A598" t="s">
        <v>1827</v>
      </c>
      <c r="B598" s="2">
        <v>68</v>
      </c>
      <c r="C598" s="301">
        <v>5.0936329588014979E-2</v>
      </c>
      <c r="D598" s="2">
        <v>30.909090909090899</v>
      </c>
      <c r="E598" s="2">
        <v>83</v>
      </c>
      <c r="F598" s="301">
        <v>6.0014461315979754E-2</v>
      </c>
      <c r="G598" s="14">
        <v>35.757575757575701</v>
      </c>
      <c r="H598" s="2">
        <v>237</v>
      </c>
      <c r="I598" s="301">
        <v>5.0608584240871238E-2</v>
      </c>
      <c r="J598" s="14">
        <v>78.181816100000006</v>
      </c>
      <c r="K598" s="301">
        <v>2.4852941176470589</v>
      </c>
      <c r="L598" s="2">
        <v>94</v>
      </c>
      <c r="M598" s="301">
        <v>3.6181678214010776E-2</v>
      </c>
      <c r="N598" s="2">
        <v>37.5757575757575</v>
      </c>
      <c r="O598" s="2">
        <v>125</v>
      </c>
      <c r="P598" s="301">
        <v>5.6433408577878104E-2</v>
      </c>
      <c r="Q598" s="14">
        <v>40.606060606060602</v>
      </c>
      <c r="R598" s="2">
        <v>364</v>
      </c>
      <c r="S598" s="301">
        <v>4.7414354565585515E-2</v>
      </c>
      <c r="T598" s="14">
        <v>96.363640000000004</v>
      </c>
      <c r="U598" s="301">
        <v>2.8723404255319149</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1828</v>
      </c>
      <c r="B599" s="2">
        <v>0</v>
      </c>
      <c r="C599" s="301">
        <v>0</v>
      </c>
      <c r="D599" s="2">
        <v>80</v>
      </c>
      <c r="E599" s="2">
        <v>0</v>
      </c>
      <c r="F599" s="301">
        <v>0</v>
      </c>
      <c r="G599" s="14">
        <v>16.969696969696901</v>
      </c>
      <c r="H599" s="2">
        <v>35</v>
      </c>
      <c r="I599" s="301">
        <v>7.4738415545590429E-3</v>
      </c>
      <c r="J599" s="14">
        <v>24.848483999999999</v>
      </c>
      <c r="L599" s="2">
        <v>12</v>
      </c>
      <c r="M599" s="301">
        <v>4.6189376443418013E-3</v>
      </c>
      <c r="N599" s="2">
        <v>11.5151515151515</v>
      </c>
      <c r="O599" s="2">
        <v>0</v>
      </c>
      <c r="P599" s="301">
        <v>0</v>
      </c>
      <c r="Q599" s="14">
        <v>16.969696969696901</v>
      </c>
      <c r="R599" s="2">
        <v>35</v>
      </c>
      <c r="S599" s="301">
        <v>4.5590725543832224E-3</v>
      </c>
      <c r="T599" s="14">
        <v>24.848483999999999</v>
      </c>
      <c r="U599" s="301">
        <v>1.9166666666666667</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1829</v>
      </c>
      <c r="B600" s="2">
        <v>0</v>
      </c>
      <c r="C600" s="301">
        <v>0</v>
      </c>
      <c r="D600" s="2">
        <v>80</v>
      </c>
      <c r="E600" s="2">
        <v>34</v>
      </c>
      <c r="F600" s="301">
        <v>2.4584237165582067E-2</v>
      </c>
      <c r="G600" s="14">
        <v>27.272727272727199</v>
      </c>
      <c r="H600" s="2">
        <v>99</v>
      </c>
      <c r="I600" s="301">
        <v>2.1140294682895581E-2</v>
      </c>
      <c r="J600" s="14">
        <v>50.303031900000001</v>
      </c>
      <c r="L600" s="2">
        <v>0</v>
      </c>
      <c r="M600" s="301">
        <v>0</v>
      </c>
      <c r="N600" s="2">
        <v>80</v>
      </c>
      <c r="O600" s="2">
        <v>34</v>
      </c>
      <c r="P600" s="301">
        <v>1.5349887133182845E-2</v>
      </c>
      <c r="Q600" s="14">
        <v>27.272727272727199</v>
      </c>
      <c r="R600" s="2">
        <v>164</v>
      </c>
      <c r="S600" s="301">
        <v>2.1362511397681385E-2</v>
      </c>
      <c r="T600" s="14">
        <v>60.606059999999999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1830</v>
      </c>
      <c r="B601" s="2">
        <v>68</v>
      </c>
      <c r="C601" s="301">
        <v>5.0936329588014979E-2</v>
      </c>
      <c r="D601" s="2">
        <v>30.909090909090899</v>
      </c>
      <c r="E601" s="2">
        <v>49</v>
      </c>
      <c r="F601" s="301">
        <v>3.5430224150397684E-2</v>
      </c>
      <c r="G601" s="14">
        <v>27.272727272727199</v>
      </c>
      <c r="H601" s="2">
        <v>103</v>
      </c>
      <c r="I601" s="301">
        <v>2.1994448003416614E-2</v>
      </c>
      <c r="J601" s="14">
        <v>46.6666679</v>
      </c>
      <c r="K601" s="301">
        <v>0.51470588235294112</v>
      </c>
      <c r="L601" s="2">
        <v>82</v>
      </c>
      <c r="M601" s="301">
        <v>3.1562740569668978E-2</v>
      </c>
      <c r="N601" s="2">
        <v>35.757575757575701</v>
      </c>
      <c r="O601" s="2">
        <v>91</v>
      </c>
      <c r="P601" s="301">
        <v>4.1083521444695258E-2</v>
      </c>
      <c r="Q601" s="14">
        <v>32.727272727272698</v>
      </c>
      <c r="R601" s="2">
        <v>165</v>
      </c>
      <c r="S601" s="301">
        <v>2.1492770613520906E-2</v>
      </c>
      <c r="T601" s="14">
        <v>66.060609999999997</v>
      </c>
      <c r="U601" s="301">
        <v>1.0121951219512195</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1831</v>
      </c>
      <c r="B602" s="2">
        <v>22</v>
      </c>
      <c r="C602" s="301">
        <v>1.647940074906367E-2</v>
      </c>
      <c r="D602" s="2">
        <v>15.151515151515101</v>
      </c>
      <c r="E602" s="2">
        <v>7</v>
      </c>
      <c r="F602" s="301">
        <v>5.0614605929139552E-3</v>
      </c>
      <c r="G602" s="14">
        <v>6.6666666666666599</v>
      </c>
      <c r="H602" s="2">
        <v>184</v>
      </c>
      <c r="I602" s="301">
        <v>3.929105274396754E-2</v>
      </c>
      <c r="J602" s="14">
        <v>66.666664100000006</v>
      </c>
      <c r="K602" s="301">
        <v>7.3636363636363633</v>
      </c>
      <c r="L602" s="2">
        <v>71</v>
      </c>
      <c r="M602" s="301">
        <v>2.7328714395688992E-2</v>
      </c>
      <c r="N602" s="2">
        <v>32.121212121212103</v>
      </c>
      <c r="O602" s="2">
        <v>59</v>
      </c>
      <c r="P602" s="301">
        <v>2.6636568848758466E-2</v>
      </c>
      <c r="Q602" s="14">
        <v>27.272727272727199</v>
      </c>
      <c r="R602" s="2">
        <v>245</v>
      </c>
      <c r="S602" s="301">
        <v>3.1913507880682555E-2</v>
      </c>
      <c r="T602" s="14">
        <v>76.363640000000004</v>
      </c>
      <c r="U602" s="301">
        <v>2.4507042253521125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1771</v>
      </c>
      <c r="B603" s="2">
        <v>237</v>
      </c>
      <c r="C603" s="301">
        <v>0.17752808988764046</v>
      </c>
      <c r="D603" s="2">
        <v>54.545454545454497</v>
      </c>
      <c r="E603" s="2">
        <v>165</v>
      </c>
      <c r="F603" s="301">
        <v>0.1193058568329718</v>
      </c>
      <c r="G603" s="14">
        <v>60</v>
      </c>
      <c r="H603" s="2">
        <v>577</v>
      </c>
      <c r="I603" s="301">
        <v>0.12321161648515909</v>
      </c>
      <c r="J603" s="14">
        <v>136.96969999999999</v>
      </c>
      <c r="K603" s="301">
        <v>1.4345991561181435</v>
      </c>
      <c r="L603" s="2">
        <v>376</v>
      </c>
      <c r="M603" s="301">
        <v>0.1447267128560431</v>
      </c>
      <c r="N603" s="2">
        <v>64.848484848484802</v>
      </c>
      <c r="O603" s="2">
        <v>224</v>
      </c>
      <c r="P603" s="301">
        <v>0.10112866817155756</v>
      </c>
      <c r="Q603" s="14">
        <v>61.212121212121197</v>
      </c>
      <c r="R603" s="2">
        <v>840</v>
      </c>
      <c r="S603" s="301">
        <v>0.10941774130519734</v>
      </c>
      <c r="T603" s="14">
        <v>159.393936</v>
      </c>
      <c r="U603" s="301">
        <v>1.2340425531914894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1827</v>
      </c>
      <c r="B604" s="2">
        <v>189</v>
      </c>
      <c r="C604" s="301">
        <v>0.14157303370786517</v>
      </c>
      <c r="D604" s="2">
        <v>45.454545454545404</v>
      </c>
      <c r="E604" s="2">
        <v>112</v>
      </c>
      <c r="F604" s="301">
        <v>8.0983369486623283E-2</v>
      </c>
      <c r="G604" s="14">
        <v>54.545454545454497</v>
      </c>
      <c r="H604" s="2">
        <v>456</v>
      </c>
      <c r="I604" s="301">
        <v>9.7373478539397817E-2</v>
      </c>
      <c r="J604" s="14">
        <v>118.78788</v>
      </c>
      <c r="K604" s="301">
        <v>1.4126984126984128</v>
      </c>
      <c r="L604" s="2">
        <v>251</v>
      </c>
      <c r="M604" s="301">
        <v>9.6612779060816015E-2</v>
      </c>
      <c r="N604" s="2">
        <v>51.515151515151501</v>
      </c>
      <c r="O604" s="2">
        <v>148</v>
      </c>
      <c r="P604" s="301">
        <v>6.6817155756207669E-2</v>
      </c>
      <c r="Q604" s="14">
        <v>56.363636363636303</v>
      </c>
      <c r="R604" s="2">
        <v>617</v>
      </c>
      <c r="S604" s="301">
        <v>8.0369936172984241E-2</v>
      </c>
      <c r="T604" s="14">
        <v>137.57576</v>
      </c>
      <c r="U604" s="301">
        <v>1.4581673306772909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1828</v>
      </c>
      <c r="B605" s="2">
        <v>7</v>
      </c>
      <c r="C605" s="301">
        <v>5.2434456928838954E-3</v>
      </c>
      <c r="D605" s="2">
        <v>6.6666666666666599</v>
      </c>
      <c r="E605" s="2">
        <v>8</v>
      </c>
      <c r="F605" s="301">
        <v>5.7845263919016629E-3</v>
      </c>
      <c r="G605" s="14">
        <v>8.4848484848484809</v>
      </c>
      <c r="H605" s="2">
        <v>64</v>
      </c>
      <c r="I605" s="301">
        <v>1.3666453128336536E-2</v>
      </c>
      <c r="J605" s="14">
        <v>38.181820000000002</v>
      </c>
      <c r="K605" s="301">
        <v>8.1428571428571423</v>
      </c>
      <c r="L605" s="2">
        <v>45</v>
      </c>
      <c r="M605" s="301">
        <v>1.7321016166281754E-2</v>
      </c>
      <c r="N605" s="2">
        <v>21.2121212121212</v>
      </c>
      <c r="O605" s="2">
        <v>8</v>
      </c>
      <c r="P605" s="301">
        <v>3.6117381489841984E-3</v>
      </c>
      <c r="Q605" s="14">
        <v>8.4848484848484809</v>
      </c>
      <c r="R605" s="2">
        <v>123</v>
      </c>
      <c r="S605" s="301">
        <v>1.6021883548261038E-2</v>
      </c>
      <c r="T605" s="14">
        <v>53.939392099999999</v>
      </c>
      <c r="U605" s="301">
        <v>1.7333333333333334</v>
      </c>
      <c r="V605" s="2">
        <v>16081</v>
      </c>
      <c r="W605" s="27">
        <v>1.4E-2</v>
      </c>
      <c r="X605" s="2">
        <v>598</v>
      </c>
      <c r="Y605" s="2">
        <v>13875</v>
      </c>
      <c r="Z605" s="27">
        <v>1.4E-2</v>
      </c>
      <c r="AA605" s="14">
        <v>473.94</v>
      </c>
      <c r="AB605" s="2">
        <v>13644</v>
      </c>
      <c r="AC605" s="27">
        <v>1.2E-2</v>
      </c>
      <c r="AD605" s="14">
        <v>567.88</v>
      </c>
      <c r="AE605" s="27">
        <v>-0.152</v>
      </c>
    </row>
    <row r="606" spans="1:31" x14ac:dyDescent="0.3">
      <c r="A606" t="s">
        <v>1829</v>
      </c>
      <c r="B606" s="2">
        <v>66</v>
      </c>
      <c r="C606" s="301">
        <v>4.9438202247191011E-2</v>
      </c>
      <c r="D606" s="2">
        <v>21.2121212121212</v>
      </c>
      <c r="E606" s="2">
        <v>0</v>
      </c>
      <c r="F606" s="301">
        <v>0</v>
      </c>
      <c r="G606" s="14">
        <v>16.969696969696901</v>
      </c>
      <c r="H606" s="2">
        <v>225</v>
      </c>
      <c r="I606" s="301">
        <v>4.8046124279308135E-2</v>
      </c>
      <c r="J606" s="14">
        <v>80</v>
      </c>
      <c r="K606" s="301">
        <v>2.4090909090909092</v>
      </c>
      <c r="L606" s="2">
        <v>71</v>
      </c>
      <c r="M606" s="301">
        <v>2.7328714395688992E-2</v>
      </c>
      <c r="N606" s="2">
        <v>20</v>
      </c>
      <c r="O606" s="2">
        <v>8</v>
      </c>
      <c r="P606" s="301">
        <v>3.6117381489841984E-3</v>
      </c>
      <c r="Q606" s="14">
        <v>7.8787878787878798</v>
      </c>
      <c r="R606" s="2">
        <v>225</v>
      </c>
      <c r="S606" s="301">
        <v>2.9308323563892145E-2</v>
      </c>
      <c r="T606" s="14">
        <v>80</v>
      </c>
      <c r="U606" s="301">
        <v>2.1690140845070425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1830</v>
      </c>
      <c r="B607" s="2">
        <v>116</v>
      </c>
      <c r="C607" s="301">
        <v>8.6891385767790263E-2</v>
      </c>
      <c r="D607" s="2">
        <v>40.606060606060602</v>
      </c>
      <c r="E607" s="2">
        <v>104</v>
      </c>
      <c r="F607" s="301">
        <v>7.5198843094721621E-2</v>
      </c>
      <c r="G607" s="14">
        <v>53.939393939393902</v>
      </c>
      <c r="H607" s="2">
        <v>167</v>
      </c>
      <c r="I607" s="301">
        <v>3.5660901131753152E-2</v>
      </c>
      <c r="J607" s="14">
        <v>79.393936199999999</v>
      </c>
      <c r="K607" s="301">
        <v>0.43965517241379309</v>
      </c>
      <c r="L607" s="2">
        <v>135</v>
      </c>
      <c r="M607" s="301">
        <v>5.1963048498845268E-2</v>
      </c>
      <c r="N607" s="2">
        <v>43.636363636363598</v>
      </c>
      <c r="O607" s="2">
        <v>132</v>
      </c>
      <c r="P607" s="301">
        <v>5.9593679458239276E-2</v>
      </c>
      <c r="Q607" s="14">
        <v>55.151515151515099</v>
      </c>
      <c r="R607" s="2">
        <v>269</v>
      </c>
      <c r="S607" s="301">
        <v>3.5039729060831054E-2</v>
      </c>
      <c r="T607" s="14">
        <v>101.818184</v>
      </c>
      <c r="U607" s="301">
        <v>0.99259259259259258</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1831</v>
      </c>
      <c r="B608" s="2">
        <v>48</v>
      </c>
      <c r="C608" s="301">
        <v>3.5955056179775284E-2</v>
      </c>
      <c r="D608" s="2">
        <v>21.2121212121212</v>
      </c>
      <c r="E608" s="2">
        <v>53</v>
      </c>
      <c r="F608" s="301">
        <v>3.8322487346348515E-2</v>
      </c>
      <c r="G608" s="14">
        <v>23.030303030302999</v>
      </c>
      <c r="H608" s="2">
        <v>121</v>
      </c>
      <c r="I608" s="301">
        <v>2.5838137945761265E-2</v>
      </c>
      <c r="J608" s="14">
        <v>54.5454559</v>
      </c>
      <c r="K608" s="301">
        <v>1.5208333333333333</v>
      </c>
      <c r="L608" s="2">
        <v>125</v>
      </c>
      <c r="M608" s="301">
        <v>4.8113933795227097E-2</v>
      </c>
      <c r="N608" s="2">
        <v>42.424242424242401</v>
      </c>
      <c r="O608" s="2">
        <v>76</v>
      </c>
      <c r="P608" s="301">
        <v>3.4311512415349889E-2</v>
      </c>
      <c r="Q608" s="14">
        <v>30.303030303030301</v>
      </c>
      <c r="R608" s="2">
        <v>223</v>
      </c>
      <c r="S608" s="301">
        <v>2.9047805132213105E-2</v>
      </c>
      <c r="T608" s="14">
        <v>63.636364</v>
      </c>
      <c r="U608" s="301">
        <v>0.78400000000000003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1838</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1706</v>
      </c>
      <c r="C611" s="304"/>
      <c r="D611" s="304" t="s">
        <v>1707</v>
      </c>
      <c r="E611" s="304" t="s">
        <v>1706</v>
      </c>
      <c r="F611" s="304"/>
      <c r="G611" s="304" t="s">
        <v>1707</v>
      </c>
      <c r="H611" s="304" t="s">
        <v>1706</v>
      </c>
      <c r="I611" s="304"/>
      <c r="J611" s="304" t="s">
        <v>1707</v>
      </c>
      <c r="K611" t="s">
        <v>172</v>
      </c>
      <c r="L611" s="304" t="s">
        <v>1706</v>
      </c>
      <c r="M611" s="304"/>
      <c r="N611" s="304" t="s">
        <v>1707</v>
      </c>
      <c r="O611" s="304" t="s">
        <v>1706</v>
      </c>
      <c r="P611" s="304"/>
      <c r="Q611" s="304" t="s">
        <v>1707</v>
      </c>
      <c r="R611" s="304" t="s">
        <v>1706</v>
      </c>
      <c r="S611" s="304"/>
      <c r="T611" s="304" t="s">
        <v>1707</v>
      </c>
      <c r="U611" t="s">
        <v>172</v>
      </c>
      <c r="V611" s="207" t="s">
        <v>1706</v>
      </c>
      <c r="W611" s="207"/>
      <c r="X611" s="207" t="s">
        <v>1707</v>
      </c>
      <c r="Y611" s="207" t="s">
        <v>1706</v>
      </c>
      <c r="Z611" s="207"/>
      <c r="AA611" s="207" t="s">
        <v>1707</v>
      </c>
      <c r="AB611" s="207" t="s">
        <v>1706</v>
      </c>
      <c r="AC611" s="207"/>
      <c r="AD611" s="207" t="s">
        <v>1707</v>
      </c>
      <c r="AE611" t="s">
        <v>172</v>
      </c>
    </row>
    <row r="612" spans="1:31" x14ac:dyDescent="0.3">
      <c r="A612" t="s">
        <v>174</v>
      </c>
      <c r="B612" s="2">
        <v>145</v>
      </c>
      <c r="C612" t="s">
        <v>172</v>
      </c>
      <c r="D612" s="2">
        <v>42.424242424242401</v>
      </c>
      <c r="E612" s="2">
        <v>332</v>
      </c>
      <c r="F612" t="s">
        <v>172</v>
      </c>
      <c r="G612" s="14">
        <v>70.303030303030297</v>
      </c>
      <c r="H612" s="2">
        <v>849</v>
      </c>
      <c r="I612" t="s">
        <v>172</v>
      </c>
      <c r="J612" s="14">
        <v>182.42424</v>
      </c>
      <c r="K612" s="301">
        <v>4.8551724137931034</v>
      </c>
      <c r="L612" s="2">
        <v>756</v>
      </c>
      <c r="M612" t="s">
        <v>172</v>
      </c>
      <c r="N612" s="2">
        <v>104.84848484848401</v>
      </c>
      <c r="O612" s="2">
        <v>673</v>
      </c>
      <c r="P612" t="s">
        <v>172</v>
      </c>
      <c r="Q612" s="14">
        <v>106.06060606060601</v>
      </c>
      <c r="R612" s="2">
        <v>1738</v>
      </c>
      <c r="S612" t="s">
        <v>172</v>
      </c>
      <c r="T612" s="14">
        <v>220.606064</v>
      </c>
      <c r="U612" s="301">
        <v>1.2989417989417988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1804</v>
      </c>
      <c r="B613" s="2">
        <v>18</v>
      </c>
      <c r="C613" s="301">
        <v>0.12413793103448276</v>
      </c>
      <c r="D613" s="2">
        <v>13.3333333333333</v>
      </c>
      <c r="E613" s="2">
        <v>61</v>
      </c>
      <c r="F613" s="301">
        <v>0.18373493975903615</v>
      </c>
      <c r="G613" s="14">
        <v>23.636363636363601</v>
      </c>
      <c r="H613" s="2">
        <v>5</v>
      </c>
      <c r="I613" s="301">
        <v>5.8892815076560662E-3</v>
      </c>
      <c r="J613" s="14">
        <v>5.4545455</v>
      </c>
      <c r="K613" s="301">
        <v>-0.72222222222222221</v>
      </c>
      <c r="L613" s="2">
        <v>134</v>
      </c>
      <c r="M613" s="301">
        <v>0.17724867724867724</v>
      </c>
      <c r="N613" s="2">
        <v>52.727272727272698</v>
      </c>
      <c r="O613" s="2">
        <v>107</v>
      </c>
      <c r="P613" s="301">
        <v>0.15898959881129271</v>
      </c>
      <c r="Q613" s="14">
        <v>37.5757575757575</v>
      </c>
      <c r="R613" s="2">
        <v>64</v>
      </c>
      <c r="S613" s="301">
        <v>3.6823935558112773E-2</v>
      </c>
      <c r="T613" s="14">
        <v>30.909089999999999</v>
      </c>
      <c r="U613" s="301">
        <v>-0.52238805970149249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1768</v>
      </c>
      <c r="B614" s="2">
        <v>10</v>
      </c>
      <c r="C614" s="301">
        <v>6.8965517241379309E-2</v>
      </c>
      <c r="D614" s="2">
        <v>9.6969696969696901</v>
      </c>
      <c r="E614" s="2">
        <v>35</v>
      </c>
      <c r="F614" s="301">
        <v>0.10542168674698796</v>
      </c>
      <c r="G614" s="14">
        <v>21.818181818181799</v>
      </c>
      <c r="H614" s="2">
        <v>0</v>
      </c>
      <c r="I614" s="301">
        <v>0</v>
      </c>
      <c r="J614" s="14">
        <v>18.787877999999999</v>
      </c>
      <c r="K614" s="301">
        <v>-1</v>
      </c>
      <c r="L614" s="2">
        <v>61</v>
      </c>
      <c r="M614" s="301">
        <v>8.0687830687830683E-2</v>
      </c>
      <c r="N614" s="2">
        <v>33.3333333333333</v>
      </c>
      <c r="O614" s="2">
        <v>40</v>
      </c>
      <c r="P614" s="301">
        <v>5.9435364041604752E-2</v>
      </c>
      <c r="Q614" s="14">
        <v>20.606060606060598</v>
      </c>
      <c r="R614" s="2">
        <v>24</v>
      </c>
      <c r="S614" s="301">
        <v>1.3808975834292289E-2</v>
      </c>
      <c r="T614" s="14">
        <v>20.606059999999999</v>
      </c>
      <c r="U614" s="301">
        <v>-0.60655737704918034</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1822</v>
      </c>
      <c r="B615" s="2">
        <v>0</v>
      </c>
      <c r="C615" s="301">
        <v>0</v>
      </c>
      <c r="D615" s="2">
        <v>80</v>
      </c>
      <c r="E615" s="2">
        <v>35</v>
      </c>
      <c r="F615" s="301">
        <v>0.10542168674698796</v>
      </c>
      <c r="G615" s="14">
        <v>21.818181818181799</v>
      </c>
      <c r="H615" s="2">
        <v>0</v>
      </c>
      <c r="I615" s="301">
        <v>0</v>
      </c>
      <c r="J615" s="14">
        <v>18.787877999999999</v>
      </c>
      <c r="L615" s="2">
        <v>51</v>
      </c>
      <c r="M615" s="301">
        <v>6.7460317460317457E-2</v>
      </c>
      <c r="N615" s="2">
        <v>32.121212121212103</v>
      </c>
      <c r="O615" s="2">
        <v>35</v>
      </c>
      <c r="P615" s="301">
        <v>5.2005943536404163E-2</v>
      </c>
      <c r="Q615" s="14">
        <v>21.818181818181799</v>
      </c>
      <c r="R615" s="2">
        <v>21</v>
      </c>
      <c r="S615" s="301">
        <v>1.2082853855005753E-2</v>
      </c>
      <c r="T615" s="14">
        <v>20.606059999999999</v>
      </c>
      <c r="U615" s="301">
        <v>-0.58823529411764708</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1823</v>
      </c>
      <c r="B616" s="2">
        <v>0</v>
      </c>
      <c r="C616" s="301">
        <v>0</v>
      </c>
      <c r="D616" s="2">
        <v>80</v>
      </c>
      <c r="E616" s="2">
        <v>0</v>
      </c>
      <c r="F616" s="301">
        <v>0</v>
      </c>
      <c r="G616" s="2">
        <v>16.969696969696901</v>
      </c>
      <c r="H616" s="2">
        <v>0</v>
      </c>
      <c r="I616" s="301">
        <v>0</v>
      </c>
      <c r="J616" s="14">
        <v>18.787877999999999</v>
      </c>
      <c r="L616" s="2">
        <v>3</v>
      </c>
      <c r="M616" s="301">
        <v>3.968253968253968E-3</v>
      </c>
      <c r="N616" s="2">
        <v>3.0303030303030298</v>
      </c>
      <c r="O616" s="2">
        <v>0</v>
      </c>
      <c r="P616" s="301">
        <v>0</v>
      </c>
      <c r="Q616" s="2">
        <v>16.969696969696901</v>
      </c>
      <c r="R616" s="2">
        <v>21</v>
      </c>
      <c r="S616" s="301">
        <v>1.2082853855005753E-2</v>
      </c>
      <c r="T616" s="14">
        <v>20.606059999999999</v>
      </c>
      <c r="U616" s="301">
        <v>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1824</v>
      </c>
      <c r="B617" s="2">
        <v>0</v>
      </c>
      <c r="C617" s="301">
        <v>0</v>
      </c>
      <c r="D617" s="2">
        <v>80</v>
      </c>
      <c r="E617" s="2">
        <v>15</v>
      </c>
      <c r="F617" s="301">
        <v>4.5180722891566265E-2</v>
      </c>
      <c r="G617" s="14">
        <v>10.909090909090899</v>
      </c>
      <c r="H617" s="2">
        <v>0</v>
      </c>
      <c r="I617" s="301">
        <v>0</v>
      </c>
      <c r="J617" s="14">
        <v>18.787877999999999</v>
      </c>
      <c r="L617" s="2">
        <v>33</v>
      </c>
      <c r="M617" s="301">
        <v>4.3650793650793648E-2</v>
      </c>
      <c r="N617" s="2">
        <v>26.6666666666666</v>
      </c>
      <c r="O617" s="2">
        <v>15</v>
      </c>
      <c r="P617" s="301">
        <v>2.2288261515601784E-2</v>
      </c>
      <c r="Q617" s="14">
        <v>10.909090909090899</v>
      </c>
      <c r="R617" s="2">
        <v>0</v>
      </c>
      <c r="S617" s="301">
        <v>0</v>
      </c>
      <c r="T617" s="14">
        <v>18.787877999999999</v>
      </c>
      <c r="U617" s="301">
        <v>-1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1825</v>
      </c>
      <c r="B618" s="2">
        <v>0</v>
      </c>
      <c r="C618" s="301">
        <v>0</v>
      </c>
      <c r="D618" s="2">
        <v>80</v>
      </c>
      <c r="E618" s="2">
        <v>20</v>
      </c>
      <c r="F618" s="301">
        <v>6.0240963855421686E-2</v>
      </c>
      <c r="G618" s="14">
        <v>20</v>
      </c>
      <c r="H618" s="2">
        <v>0</v>
      </c>
      <c r="I618" s="301">
        <v>0</v>
      </c>
      <c r="J618" s="14">
        <v>18.787877999999999</v>
      </c>
      <c r="L618" s="2">
        <v>15</v>
      </c>
      <c r="M618" s="301">
        <v>1.984126984126984E-2</v>
      </c>
      <c r="N618" s="2">
        <v>16.969696969696901</v>
      </c>
      <c r="O618" s="2">
        <v>20</v>
      </c>
      <c r="P618" s="301">
        <v>2.9717682020802376E-2</v>
      </c>
      <c r="Q618" s="14">
        <v>20</v>
      </c>
      <c r="R618" s="2">
        <v>0</v>
      </c>
      <c r="S618" s="301">
        <v>0</v>
      </c>
      <c r="T618" s="14">
        <v>18.787877999999999</v>
      </c>
      <c r="U618" s="301">
        <v>-1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1826</v>
      </c>
      <c r="B619" s="2">
        <v>10</v>
      </c>
      <c r="C619" s="301">
        <v>6.8965517241379309E-2</v>
      </c>
      <c r="D619" s="2">
        <v>9.6969696969696901</v>
      </c>
      <c r="E619" s="2">
        <v>0</v>
      </c>
      <c r="F619" s="301">
        <v>0</v>
      </c>
      <c r="G619" s="14">
        <v>16.969696969696901</v>
      </c>
      <c r="H619" s="2">
        <v>0</v>
      </c>
      <c r="I619" s="301">
        <v>0</v>
      </c>
      <c r="J619" s="14">
        <v>18.787877999999999</v>
      </c>
      <c r="K619" s="301">
        <v>-1</v>
      </c>
      <c r="L619" s="2">
        <v>10</v>
      </c>
      <c r="M619" s="301">
        <v>1.3227513227513227E-2</v>
      </c>
      <c r="N619" s="2">
        <v>9.6969696969696901</v>
      </c>
      <c r="O619" s="2">
        <v>5</v>
      </c>
      <c r="P619" s="301">
        <v>7.429420505200594E-3</v>
      </c>
      <c r="Q619" s="14">
        <v>4.2424242424242404</v>
      </c>
      <c r="R619" s="2">
        <v>3</v>
      </c>
      <c r="S619" s="301">
        <v>1.7261219792865361E-3</v>
      </c>
      <c r="T619" s="14">
        <v>3.030303</v>
      </c>
      <c r="U619" s="301">
        <v>-0.7</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1769</v>
      </c>
      <c r="B620" s="2">
        <v>8</v>
      </c>
      <c r="C620" s="301">
        <v>5.5172413793103448E-2</v>
      </c>
      <c r="D620" s="2">
        <v>9.0909090909090899</v>
      </c>
      <c r="E620" s="2">
        <v>26</v>
      </c>
      <c r="F620" s="301">
        <v>7.8313253012048195E-2</v>
      </c>
      <c r="G620" s="14">
        <v>20</v>
      </c>
      <c r="H620" s="2">
        <v>5</v>
      </c>
      <c r="I620" s="301">
        <v>5.8892815076560662E-3</v>
      </c>
      <c r="J620" s="14">
        <v>5.4545455</v>
      </c>
      <c r="K620" s="301">
        <v>-0.375</v>
      </c>
      <c r="L620" s="2">
        <v>73</v>
      </c>
      <c r="M620" s="301">
        <v>9.6560846560846555E-2</v>
      </c>
      <c r="N620" s="2">
        <v>38.181818181818102</v>
      </c>
      <c r="O620" s="2">
        <v>67</v>
      </c>
      <c r="P620" s="301">
        <v>9.9554234769687958E-2</v>
      </c>
      <c r="Q620" s="14">
        <v>41.212121212121197</v>
      </c>
      <c r="R620" s="2">
        <v>40</v>
      </c>
      <c r="S620" s="301">
        <v>2.3014959723820484E-2</v>
      </c>
      <c r="T620" s="14">
        <v>24.242424</v>
      </c>
      <c r="U620" s="301">
        <v>-0.45205479452054792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1770</v>
      </c>
      <c r="B621" s="2">
        <v>0</v>
      </c>
      <c r="C621" s="301">
        <v>0</v>
      </c>
      <c r="D621" s="2">
        <v>80</v>
      </c>
      <c r="E621" s="2">
        <v>20</v>
      </c>
      <c r="F621" s="301">
        <v>6.0240963855421686E-2</v>
      </c>
      <c r="G621" s="14">
        <v>19.393939393939299</v>
      </c>
      <c r="H621" s="2">
        <v>5</v>
      </c>
      <c r="I621" s="301">
        <v>5.8892815076560662E-3</v>
      </c>
      <c r="J621" s="14">
        <v>5.4545455</v>
      </c>
      <c r="L621" s="2">
        <v>31</v>
      </c>
      <c r="M621" s="301">
        <v>4.1005291005291003E-2</v>
      </c>
      <c r="N621" s="2">
        <v>24.848484848484802</v>
      </c>
      <c r="O621" s="2">
        <v>20</v>
      </c>
      <c r="P621" s="301">
        <v>2.9717682020802376E-2</v>
      </c>
      <c r="Q621" s="14">
        <v>19.393939393939299</v>
      </c>
      <c r="R621" s="2">
        <v>40</v>
      </c>
      <c r="S621" s="301">
        <v>2.3014959723820484E-2</v>
      </c>
      <c r="T621" s="14">
        <v>24.242424</v>
      </c>
      <c r="U621" s="301">
        <v>0.29032258064516131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1827</v>
      </c>
      <c r="B622" s="2">
        <v>0</v>
      </c>
      <c r="C622" s="301">
        <v>0</v>
      </c>
      <c r="D622" s="2">
        <v>80</v>
      </c>
      <c r="E622" s="2">
        <v>0</v>
      </c>
      <c r="F622" s="301">
        <v>0</v>
      </c>
      <c r="G622" s="2">
        <v>16.969696969696901</v>
      </c>
      <c r="H622" s="2">
        <v>5</v>
      </c>
      <c r="I622" s="301">
        <v>5.8892815076560662E-3</v>
      </c>
      <c r="J622" s="14">
        <v>5.4545455</v>
      </c>
      <c r="L622" s="2">
        <v>31</v>
      </c>
      <c r="M622" s="301">
        <v>4.1005291005291003E-2</v>
      </c>
      <c r="N622" s="2">
        <v>24.848484848484802</v>
      </c>
      <c r="O622" s="2">
        <v>0</v>
      </c>
      <c r="P622" s="301">
        <v>0</v>
      </c>
      <c r="Q622" s="2">
        <v>16.969696969696901</v>
      </c>
      <c r="R622" s="2">
        <v>40</v>
      </c>
      <c r="S622" s="301">
        <v>2.3014959723820484E-2</v>
      </c>
      <c r="T622" s="14">
        <v>24.242424</v>
      </c>
      <c r="U622" s="301">
        <v>0.29032258064516131</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1828</v>
      </c>
      <c r="B623" s="2">
        <v>0</v>
      </c>
      <c r="C623" s="301">
        <v>0</v>
      </c>
      <c r="D623" s="2">
        <v>80</v>
      </c>
      <c r="E623" s="2">
        <v>0</v>
      </c>
      <c r="F623" s="301">
        <v>0</v>
      </c>
      <c r="G623" s="14">
        <v>16.969696969696901</v>
      </c>
      <c r="H623" s="2">
        <v>0</v>
      </c>
      <c r="I623" s="301">
        <v>0</v>
      </c>
      <c r="J623" s="14">
        <v>18.787877999999999</v>
      </c>
      <c r="L623" s="2">
        <v>0</v>
      </c>
      <c r="M623" s="301">
        <v>0</v>
      </c>
      <c r="N623" s="2">
        <v>80</v>
      </c>
      <c r="O623" s="2">
        <v>0</v>
      </c>
      <c r="P623" s="301">
        <v>0</v>
      </c>
      <c r="Q623" s="14">
        <v>16.969696969696901</v>
      </c>
      <c r="R623" s="2">
        <v>0</v>
      </c>
      <c r="S623" s="301">
        <v>0</v>
      </c>
      <c r="T623" s="14">
        <v>18.787877999999999</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1829</v>
      </c>
      <c r="B624" s="2">
        <v>0</v>
      </c>
      <c r="C624" s="301">
        <v>0</v>
      </c>
      <c r="D624" s="2">
        <v>80</v>
      </c>
      <c r="E624" s="2">
        <v>0</v>
      </c>
      <c r="F624" s="301">
        <v>0</v>
      </c>
      <c r="G624" s="14">
        <v>16.969696969696901</v>
      </c>
      <c r="H624" s="2">
        <v>0</v>
      </c>
      <c r="I624" s="301">
        <v>0</v>
      </c>
      <c r="J624" s="14">
        <v>18.787877999999999</v>
      </c>
      <c r="L624" s="2">
        <v>0</v>
      </c>
      <c r="M624" s="301">
        <v>0</v>
      </c>
      <c r="N624" s="2">
        <v>80</v>
      </c>
      <c r="O624" s="2">
        <v>0</v>
      </c>
      <c r="P624" s="301">
        <v>0</v>
      </c>
      <c r="Q624" s="14">
        <v>16.969696969696901</v>
      </c>
      <c r="R624" s="2">
        <v>0</v>
      </c>
      <c r="S624" s="301">
        <v>0</v>
      </c>
      <c r="T624" s="14">
        <v>18.787877999999999</v>
      </c>
      <c r="V624" s="2">
        <v>279</v>
      </c>
      <c r="W624" s="27">
        <v>1E-3</v>
      </c>
      <c r="X624" s="2">
        <v>84</v>
      </c>
      <c r="Y624" s="2">
        <v>750</v>
      </c>
      <c r="Z624" s="27">
        <v>3.0000000000000001E-3</v>
      </c>
      <c r="AA624" s="14">
        <v>116.97</v>
      </c>
      <c r="AB624" s="2">
        <v>1091</v>
      </c>
      <c r="AC624" s="27">
        <v>2E-3</v>
      </c>
      <c r="AD624" s="14">
        <v>232.73</v>
      </c>
      <c r="AE624" s="27">
        <v>2.91</v>
      </c>
    </row>
    <row r="625" spans="1:31" x14ac:dyDescent="0.3">
      <c r="A625" t="s">
        <v>1830</v>
      </c>
      <c r="B625" s="2">
        <v>0</v>
      </c>
      <c r="C625" s="301">
        <v>0</v>
      </c>
      <c r="D625" s="2">
        <v>80</v>
      </c>
      <c r="E625" s="2">
        <v>0</v>
      </c>
      <c r="F625" s="301">
        <v>0</v>
      </c>
      <c r="G625" s="14">
        <v>16.969696969696901</v>
      </c>
      <c r="H625" s="2">
        <v>5</v>
      </c>
      <c r="I625" s="301">
        <v>5.8892815076560662E-3</v>
      </c>
      <c r="J625" s="14">
        <v>5.4545455</v>
      </c>
      <c r="L625" s="2">
        <v>31</v>
      </c>
      <c r="M625" s="301">
        <v>4.1005291005291003E-2</v>
      </c>
      <c r="N625" s="2">
        <v>24.848484848484802</v>
      </c>
      <c r="O625" s="2">
        <v>0</v>
      </c>
      <c r="P625" s="301">
        <v>0</v>
      </c>
      <c r="Q625" s="14">
        <v>16.969696969696901</v>
      </c>
      <c r="R625" s="2">
        <v>40</v>
      </c>
      <c r="S625" s="301">
        <v>2.3014959723820484E-2</v>
      </c>
      <c r="T625" s="14">
        <v>24.242424</v>
      </c>
      <c r="U625" s="301">
        <v>0.29032258064516131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1831</v>
      </c>
      <c r="B626" s="2">
        <v>0</v>
      </c>
      <c r="C626" s="301">
        <v>0</v>
      </c>
      <c r="D626" s="2">
        <v>80</v>
      </c>
      <c r="E626" s="2">
        <v>20</v>
      </c>
      <c r="F626" s="301">
        <v>6.0240963855421686E-2</v>
      </c>
      <c r="G626" s="14">
        <v>19.393939393939299</v>
      </c>
      <c r="H626" s="2">
        <v>0</v>
      </c>
      <c r="I626" s="301">
        <v>0</v>
      </c>
      <c r="J626" s="14">
        <v>18.787877999999999</v>
      </c>
      <c r="L626" s="2">
        <v>0</v>
      </c>
      <c r="M626" s="301">
        <v>0</v>
      </c>
      <c r="N626" s="2">
        <v>80</v>
      </c>
      <c r="O626" s="2">
        <v>20</v>
      </c>
      <c r="P626" s="301">
        <v>2.9717682020802376E-2</v>
      </c>
      <c r="Q626" s="14">
        <v>19.393939393939299</v>
      </c>
      <c r="R626" s="2">
        <v>0</v>
      </c>
      <c r="S626" s="301">
        <v>0</v>
      </c>
      <c r="T626" s="14">
        <v>18.787877999999999</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1771</v>
      </c>
      <c r="B627" s="2">
        <v>8</v>
      </c>
      <c r="C627" s="301">
        <v>5.5172413793103448E-2</v>
      </c>
      <c r="D627" s="2">
        <v>9.0909090909090899</v>
      </c>
      <c r="E627" s="2">
        <v>6</v>
      </c>
      <c r="F627" s="301">
        <v>1.8072289156626505E-2</v>
      </c>
      <c r="G627" s="14">
        <v>5.4545454545454497</v>
      </c>
      <c r="H627" s="2">
        <v>0</v>
      </c>
      <c r="I627" s="301">
        <v>0</v>
      </c>
      <c r="J627" s="14">
        <v>18.787877999999999</v>
      </c>
      <c r="K627" s="301">
        <v>-1</v>
      </c>
      <c r="L627" s="2">
        <v>42</v>
      </c>
      <c r="M627" s="301">
        <v>5.5555555555555552E-2</v>
      </c>
      <c r="N627" s="2">
        <v>26.060606060605998</v>
      </c>
      <c r="O627" s="2">
        <v>47</v>
      </c>
      <c r="P627" s="301">
        <v>6.9836552748885589E-2</v>
      </c>
      <c r="Q627" s="14">
        <v>30.303030303030301</v>
      </c>
      <c r="R627" s="2">
        <v>0</v>
      </c>
      <c r="S627" s="301">
        <v>0</v>
      </c>
      <c r="T627" s="14">
        <v>18.787877999999999</v>
      </c>
      <c r="U627" s="301">
        <v>-1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1827</v>
      </c>
      <c r="B628" s="2">
        <v>8</v>
      </c>
      <c r="C628" s="301">
        <v>5.5172413793103448E-2</v>
      </c>
      <c r="D628" s="2">
        <v>9.0909090909090899</v>
      </c>
      <c r="E628" s="2">
        <v>0</v>
      </c>
      <c r="F628" s="301">
        <v>0</v>
      </c>
      <c r="G628" s="14">
        <v>16.969696969696901</v>
      </c>
      <c r="H628" s="2">
        <v>0</v>
      </c>
      <c r="I628" s="301">
        <v>0</v>
      </c>
      <c r="J628" s="14">
        <v>18.787877999999999</v>
      </c>
      <c r="K628" s="301">
        <v>-1</v>
      </c>
      <c r="L628" s="2">
        <v>42</v>
      </c>
      <c r="M628" s="301">
        <v>5.5555555555555552E-2</v>
      </c>
      <c r="N628" s="2">
        <v>26.060606060605998</v>
      </c>
      <c r="O628" s="2">
        <v>41</v>
      </c>
      <c r="P628" s="301">
        <v>6.0921248142644872E-2</v>
      </c>
      <c r="Q628" s="14">
        <v>29.090909090909101</v>
      </c>
      <c r="R628" s="2">
        <v>0</v>
      </c>
      <c r="S628" s="301">
        <v>0</v>
      </c>
      <c r="T628" s="14">
        <v>18.787877999999999</v>
      </c>
      <c r="U628" s="301">
        <v>-1</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1828</v>
      </c>
      <c r="B629" s="2">
        <v>8</v>
      </c>
      <c r="C629" s="301">
        <v>5.5172413793103448E-2</v>
      </c>
      <c r="D629" s="2">
        <v>9.0909090909090899</v>
      </c>
      <c r="E629" s="2">
        <v>0</v>
      </c>
      <c r="F629" s="301">
        <v>0</v>
      </c>
      <c r="G629" s="14">
        <v>16.969696969696901</v>
      </c>
      <c r="H629" s="2">
        <v>0</v>
      </c>
      <c r="I629" s="301">
        <v>0</v>
      </c>
      <c r="J629" s="14">
        <v>18.787877999999999</v>
      </c>
      <c r="K629" s="301">
        <v>-1</v>
      </c>
      <c r="L629" s="2">
        <v>8</v>
      </c>
      <c r="M629" s="301">
        <v>1.0582010582010581E-2</v>
      </c>
      <c r="N629" s="2">
        <v>9.0909090909090899</v>
      </c>
      <c r="O629" s="2">
        <v>0</v>
      </c>
      <c r="P629" s="301">
        <v>0</v>
      </c>
      <c r="Q629" s="14">
        <v>16.969696969696901</v>
      </c>
      <c r="R629" s="2">
        <v>0</v>
      </c>
      <c r="S629" s="301">
        <v>0</v>
      </c>
      <c r="T629" s="14">
        <v>18.787877999999999</v>
      </c>
      <c r="U629" s="301">
        <v>-1</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1829</v>
      </c>
      <c r="B630" s="2">
        <v>0</v>
      </c>
      <c r="C630" s="301">
        <v>0</v>
      </c>
      <c r="D630" s="2">
        <v>80</v>
      </c>
      <c r="E630" s="2">
        <v>0</v>
      </c>
      <c r="F630" s="301">
        <v>0</v>
      </c>
      <c r="G630" s="14">
        <v>16.969696969696901</v>
      </c>
      <c r="H630" s="2">
        <v>0</v>
      </c>
      <c r="I630" s="301">
        <v>0</v>
      </c>
      <c r="J630" s="14">
        <v>18.787877999999999</v>
      </c>
      <c r="L630" s="2">
        <v>34</v>
      </c>
      <c r="M630" s="301">
        <v>4.4973544973544971E-2</v>
      </c>
      <c r="N630" s="2">
        <v>23.636363636363601</v>
      </c>
      <c r="O630" s="2">
        <v>0</v>
      </c>
      <c r="P630" s="301">
        <v>0</v>
      </c>
      <c r="Q630" s="14">
        <v>16.969696969696901</v>
      </c>
      <c r="R630" s="2">
        <v>0</v>
      </c>
      <c r="S630" s="301">
        <v>0</v>
      </c>
      <c r="T630" s="14">
        <v>18.787877999999999</v>
      </c>
      <c r="U630" s="301">
        <v>-1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1830</v>
      </c>
      <c r="B631" s="2">
        <v>0</v>
      </c>
      <c r="C631" s="301">
        <v>0</v>
      </c>
      <c r="D631" s="2">
        <v>80</v>
      </c>
      <c r="E631" s="2">
        <v>0</v>
      </c>
      <c r="F631" s="301">
        <v>0</v>
      </c>
      <c r="G631" s="14">
        <v>16.969696969696901</v>
      </c>
      <c r="H631" s="2">
        <v>0</v>
      </c>
      <c r="I631" s="301">
        <v>0</v>
      </c>
      <c r="J631" s="14">
        <v>18.787877999999999</v>
      </c>
      <c r="L631" s="2">
        <v>0</v>
      </c>
      <c r="M631" s="301">
        <v>0</v>
      </c>
      <c r="N631" s="2">
        <v>80</v>
      </c>
      <c r="O631" s="2">
        <v>41</v>
      </c>
      <c r="P631" s="301">
        <v>6.0921248142644872E-2</v>
      </c>
      <c r="Q631" s="14">
        <v>29.090909090909101</v>
      </c>
      <c r="R631" s="2">
        <v>0</v>
      </c>
      <c r="S631" s="301">
        <v>0</v>
      </c>
      <c r="T631" s="14">
        <v>18.787877999999999</v>
      </c>
      <c r="V631" s="2">
        <v>5211</v>
      </c>
      <c r="W631" s="27">
        <v>2.7E-2</v>
      </c>
      <c r="X631" s="2">
        <v>300</v>
      </c>
      <c r="Y631" s="2">
        <v>7834</v>
      </c>
      <c r="Z631" s="27">
        <v>3.1E-2</v>
      </c>
      <c r="AA631" s="14">
        <v>369.09</v>
      </c>
      <c r="AB631" s="2">
        <v>12441</v>
      </c>
      <c r="AC631" s="27">
        <v>2.4E-2</v>
      </c>
      <c r="AD631" s="14">
        <v>820.61</v>
      </c>
      <c r="AE631" s="27">
        <v>1.387</v>
      </c>
    </row>
    <row r="632" spans="1:31" x14ac:dyDescent="0.3">
      <c r="A632" t="s">
        <v>1831</v>
      </c>
      <c r="B632" s="2">
        <v>0</v>
      </c>
      <c r="C632" s="301">
        <v>0</v>
      </c>
      <c r="D632" s="2">
        <v>80</v>
      </c>
      <c r="E632" s="2">
        <v>6</v>
      </c>
      <c r="F632" s="301">
        <v>1.8072289156626505E-2</v>
      </c>
      <c r="G632" s="14">
        <v>5.4545454545454497</v>
      </c>
      <c r="H632" s="2">
        <v>0</v>
      </c>
      <c r="I632" s="301">
        <v>0</v>
      </c>
      <c r="J632" s="14">
        <v>18.787877999999999</v>
      </c>
      <c r="L632" s="2">
        <v>0</v>
      </c>
      <c r="M632" s="301">
        <v>0</v>
      </c>
      <c r="N632" s="2">
        <v>80</v>
      </c>
      <c r="O632" s="2">
        <v>6</v>
      </c>
      <c r="P632" s="301">
        <v>8.9153046062407128E-3</v>
      </c>
      <c r="Q632" s="14">
        <v>5.4545454545454497</v>
      </c>
      <c r="R632" s="2">
        <v>0</v>
      </c>
      <c r="S632" s="301">
        <v>0</v>
      </c>
      <c r="T632" s="14">
        <v>18.787877999999999</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1820</v>
      </c>
      <c r="B633" s="2">
        <v>127</v>
      </c>
      <c r="C633" s="301">
        <v>0.87586206896551722</v>
      </c>
      <c r="D633" s="2">
        <v>40.606060606060602</v>
      </c>
      <c r="E633" s="2">
        <v>271</v>
      </c>
      <c r="F633" s="301">
        <v>0.8162650602409639</v>
      </c>
      <c r="G633" s="14">
        <v>65.454545454545396</v>
      </c>
      <c r="H633" s="2">
        <v>844</v>
      </c>
      <c r="I633" s="301">
        <v>0.99411071849234389</v>
      </c>
      <c r="J633" s="14">
        <v>183.636368</v>
      </c>
      <c r="K633" s="301">
        <v>5.6456692913385824</v>
      </c>
      <c r="L633" s="2">
        <v>622</v>
      </c>
      <c r="M633" s="301">
        <v>0.82275132275132279</v>
      </c>
      <c r="N633" s="2">
        <v>94.545454545454504</v>
      </c>
      <c r="O633" s="2">
        <v>566</v>
      </c>
      <c r="P633" s="301">
        <v>0.84101040118870729</v>
      </c>
      <c r="Q633" s="14">
        <v>95.757575757575694</v>
      </c>
      <c r="R633" s="2">
        <v>1674</v>
      </c>
      <c r="S633" s="301">
        <v>0.96317606444188719</v>
      </c>
      <c r="T633" s="14">
        <v>217.57576</v>
      </c>
      <c r="U633" s="301">
        <v>1.6913183279742765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1768</v>
      </c>
      <c r="B634" s="2">
        <v>80</v>
      </c>
      <c r="C634" s="301">
        <v>0.55172413793103448</v>
      </c>
      <c r="D634" s="2">
        <v>35.757575757575701</v>
      </c>
      <c r="E634" s="2">
        <v>171</v>
      </c>
      <c r="F634" s="301">
        <v>0.51506024096385539</v>
      </c>
      <c r="G634" s="14">
        <v>43.636363636363598</v>
      </c>
      <c r="H634" s="2">
        <v>553</v>
      </c>
      <c r="I634" s="301">
        <v>0.65135453474676086</v>
      </c>
      <c r="J634" s="14">
        <v>152.72728000000001</v>
      </c>
      <c r="K634" s="301">
        <v>5.9124999999999996</v>
      </c>
      <c r="L634" s="2">
        <v>490</v>
      </c>
      <c r="M634" s="301">
        <v>0.64814814814814814</v>
      </c>
      <c r="N634" s="2">
        <v>78.181818181818201</v>
      </c>
      <c r="O634" s="2">
        <v>366</v>
      </c>
      <c r="P634" s="301">
        <v>0.54383358098068346</v>
      </c>
      <c r="Q634" s="14">
        <v>68.484848484848399</v>
      </c>
      <c r="R634" s="2">
        <v>1247</v>
      </c>
      <c r="S634" s="301">
        <v>0.71749136939010361</v>
      </c>
      <c r="T634" s="14">
        <v>192.121216</v>
      </c>
      <c r="U634" s="301">
        <v>1.5448979591836736</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1822</v>
      </c>
      <c r="B635" s="2">
        <v>40</v>
      </c>
      <c r="C635" s="301">
        <v>0.27586206896551724</v>
      </c>
      <c r="D635" s="2">
        <v>24.2424242424242</v>
      </c>
      <c r="E635" s="2">
        <v>51</v>
      </c>
      <c r="F635" s="301">
        <v>0.1536144578313253</v>
      </c>
      <c r="G635" s="14">
        <v>27.878787878787801</v>
      </c>
      <c r="H635" s="2">
        <v>453</v>
      </c>
      <c r="I635" s="301">
        <v>0.53356890459363959</v>
      </c>
      <c r="J635" s="14">
        <v>152.72728000000001</v>
      </c>
      <c r="K635" s="301">
        <v>10.324999999999999</v>
      </c>
      <c r="L635" s="2">
        <v>250</v>
      </c>
      <c r="M635" s="301">
        <v>0.3306878306878307</v>
      </c>
      <c r="N635" s="2">
        <v>60.606060606060602</v>
      </c>
      <c r="O635" s="2">
        <v>134</v>
      </c>
      <c r="P635" s="301">
        <v>0.19910846953937592</v>
      </c>
      <c r="Q635" s="14">
        <v>40.606060606060602</v>
      </c>
      <c r="R635" s="2">
        <v>756</v>
      </c>
      <c r="S635" s="301">
        <v>0.43498273878020716</v>
      </c>
      <c r="T635" s="14">
        <v>167.878784</v>
      </c>
      <c r="U635" s="301">
        <v>2.024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1823</v>
      </c>
      <c r="B636" s="2">
        <v>0</v>
      </c>
      <c r="C636" s="301">
        <v>0</v>
      </c>
      <c r="D636" s="2">
        <v>80</v>
      </c>
      <c r="E636" s="2">
        <v>0</v>
      </c>
      <c r="F636" s="301">
        <v>0</v>
      </c>
      <c r="G636" s="14">
        <v>16.969696969696901</v>
      </c>
      <c r="H636" s="2">
        <v>5</v>
      </c>
      <c r="I636" s="301">
        <v>5.8892815076560662E-3</v>
      </c>
      <c r="J636" s="14">
        <v>10.909091</v>
      </c>
      <c r="L636" s="2">
        <v>17</v>
      </c>
      <c r="M636" s="301">
        <v>2.2486772486772486E-2</v>
      </c>
      <c r="N636" s="2">
        <v>10.909090909090899</v>
      </c>
      <c r="O636" s="2">
        <v>18</v>
      </c>
      <c r="P636" s="301">
        <v>2.6745913818722138E-2</v>
      </c>
      <c r="Q636" s="14">
        <v>9.0909090909090899</v>
      </c>
      <c r="R636" s="2">
        <v>15</v>
      </c>
      <c r="S636" s="301">
        <v>8.6306098964326807E-3</v>
      </c>
      <c r="T636" s="14">
        <v>15.151515</v>
      </c>
      <c r="U636" s="301">
        <v>-0.11764705882352941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1824</v>
      </c>
      <c r="B637" s="2">
        <v>17</v>
      </c>
      <c r="C637" s="301">
        <v>0.11724137931034483</v>
      </c>
      <c r="D637" s="2">
        <v>16.363636363636299</v>
      </c>
      <c r="E637" s="2">
        <v>36</v>
      </c>
      <c r="F637" s="301">
        <v>0.10843373493975904</v>
      </c>
      <c r="G637" s="14">
        <v>23.636363636363601</v>
      </c>
      <c r="H637" s="2">
        <v>95</v>
      </c>
      <c r="I637" s="301">
        <v>0.11189634864546526</v>
      </c>
      <c r="J637" s="14">
        <v>54.5454559</v>
      </c>
      <c r="K637" s="301">
        <v>4.5882352941176467</v>
      </c>
      <c r="L637" s="2">
        <v>69</v>
      </c>
      <c r="M637" s="301">
        <v>9.1269841269841265E-2</v>
      </c>
      <c r="N637" s="2">
        <v>28.484848484848399</v>
      </c>
      <c r="O637" s="2">
        <v>67</v>
      </c>
      <c r="P637" s="301">
        <v>9.9554234769687958E-2</v>
      </c>
      <c r="Q637" s="14">
        <v>30.909090909090899</v>
      </c>
      <c r="R637" s="2">
        <v>300</v>
      </c>
      <c r="S637" s="301">
        <v>0.17261219792865362</v>
      </c>
      <c r="T637" s="14">
        <v>87.272729999999996</v>
      </c>
      <c r="U637" s="301">
        <v>3.347826086956522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1825</v>
      </c>
      <c r="B638" s="2">
        <v>23</v>
      </c>
      <c r="C638" s="301">
        <v>0.15862068965517243</v>
      </c>
      <c r="D638" s="2">
        <v>16.969696969696901</v>
      </c>
      <c r="E638" s="2">
        <v>15</v>
      </c>
      <c r="F638" s="301">
        <v>4.5180722891566265E-2</v>
      </c>
      <c r="G638" s="14">
        <v>15.151515151515101</v>
      </c>
      <c r="H638" s="2">
        <v>353</v>
      </c>
      <c r="I638" s="301">
        <v>0.41578327444051827</v>
      </c>
      <c r="J638" s="14">
        <v>161.21212800000001</v>
      </c>
      <c r="K638" s="301">
        <v>14.347826086956522</v>
      </c>
      <c r="L638" s="2">
        <v>164</v>
      </c>
      <c r="M638" s="301">
        <v>0.21693121693121692</v>
      </c>
      <c r="N638" s="2">
        <v>50.909090909090899</v>
      </c>
      <c r="O638" s="2">
        <v>49</v>
      </c>
      <c r="P638" s="301">
        <v>7.280832095096583E-2</v>
      </c>
      <c r="Q638" s="14">
        <v>25.4545454545454</v>
      </c>
      <c r="R638" s="2">
        <v>441</v>
      </c>
      <c r="S638" s="301">
        <v>0.25373993095512082</v>
      </c>
      <c r="T638" s="14">
        <v>160.606064</v>
      </c>
      <c r="U638" s="301">
        <v>1.6890243902439024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1826</v>
      </c>
      <c r="B639" s="2">
        <v>40</v>
      </c>
      <c r="C639" s="301">
        <v>0.27586206896551724</v>
      </c>
      <c r="D639" s="2">
        <v>26.060606060605998</v>
      </c>
      <c r="E639" s="2">
        <v>120</v>
      </c>
      <c r="F639" s="301">
        <v>0.36144578313253012</v>
      </c>
      <c r="G639" s="14">
        <v>37.5757575757575</v>
      </c>
      <c r="H639" s="2">
        <v>100</v>
      </c>
      <c r="I639" s="301">
        <v>0.11778563015312132</v>
      </c>
      <c r="J639" s="14">
        <v>41.818179999999998</v>
      </c>
      <c r="K639" s="301">
        <v>1.5</v>
      </c>
      <c r="L639" s="2">
        <v>240</v>
      </c>
      <c r="M639" s="301">
        <v>0.31746031746031744</v>
      </c>
      <c r="N639" s="2">
        <v>49.090909090909101</v>
      </c>
      <c r="O639" s="2">
        <v>232</v>
      </c>
      <c r="P639" s="301">
        <v>0.34472511144130757</v>
      </c>
      <c r="Q639" s="14">
        <v>52.121212121212103</v>
      </c>
      <c r="R639" s="2">
        <v>491</v>
      </c>
      <c r="S639" s="301">
        <v>0.28250863060989645</v>
      </c>
      <c r="T639" s="14">
        <v>114.545456</v>
      </c>
      <c r="U639" s="301">
        <v>1.0458333333333334</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1769</v>
      </c>
      <c r="B640" s="2">
        <v>47</v>
      </c>
      <c r="C640" s="301">
        <v>0.32413793103448274</v>
      </c>
      <c r="D640" s="2">
        <v>26.060606060605998</v>
      </c>
      <c r="E640" s="2">
        <v>100</v>
      </c>
      <c r="F640" s="301">
        <v>0.30120481927710846</v>
      </c>
      <c r="G640" s="14">
        <v>43.030303030303003</v>
      </c>
      <c r="H640" s="2">
        <v>291</v>
      </c>
      <c r="I640" s="301">
        <v>0.34275618374558303</v>
      </c>
      <c r="J640" s="14">
        <v>106.666664</v>
      </c>
      <c r="K640" s="301">
        <v>5.1914893617021276</v>
      </c>
      <c r="L640" s="2">
        <v>132</v>
      </c>
      <c r="M640" s="301">
        <v>0.17460317460317459</v>
      </c>
      <c r="N640" s="2">
        <v>43.030303030303003</v>
      </c>
      <c r="O640" s="2">
        <v>200</v>
      </c>
      <c r="P640" s="301">
        <v>0.29717682020802377</v>
      </c>
      <c r="Q640" s="14">
        <v>60.606060606060602</v>
      </c>
      <c r="R640" s="2">
        <v>427</v>
      </c>
      <c r="S640" s="301">
        <v>0.24568469505178367</v>
      </c>
      <c r="T640" s="14">
        <v>107.878784</v>
      </c>
      <c r="U640" s="301">
        <v>2.2348484848484849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1770</v>
      </c>
      <c r="B641" s="2">
        <v>0</v>
      </c>
      <c r="C641" s="301">
        <v>0</v>
      </c>
      <c r="D641" s="2">
        <v>80</v>
      </c>
      <c r="E641" s="2">
        <v>37</v>
      </c>
      <c r="F641" s="301">
        <v>0.11144578313253012</v>
      </c>
      <c r="G641" s="14">
        <v>22.424242424242401</v>
      </c>
      <c r="H641" s="2">
        <v>0</v>
      </c>
      <c r="I641" s="301">
        <v>0</v>
      </c>
      <c r="J641" s="14">
        <v>18.787877999999999</v>
      </c>
      <c r="L641" s="2">
        <v>56</v>
      </c>
      <c r="M641" s="301">
        <v>7.407407407407407E-2</v>
      </c>
      <c r="N641" s="2">
        <v>29.090909090909101</v>
      </c>
      <c r="O641" s="2">
        <v>46</v>
      </c>
      <c r="P641" s="301">
        <v>6.8350668647845461E-2</v>
      </c>
      <c r="Q641" s="14">
        <v>24.2424242424242</v>
      </c>
      <c r="R641" s="2">
        <v>65</v>
      </c>
      <c r="S641" s="301">
        <v>3.7399309551208286E-2</v>
      </c>
      <c r="T641" s="14">
        <v>29.090910000000001</v>
      </c>
      <c r="U641" s="301">
        <v>0.16071428571428573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1827</v>
      </c>
      <c r="B642" s="2">
        <v>0</v>
      </c>
      <c r="C642" s="301">
        <v>0</v>
      </c>
      <c r="D642" s="2">
        <v>80</v>
      </c>
      <c r="E642" s="2">
        <v>37</v>
      </c>
      <c r="F642" s="301">
        <v>0.11144578313253012</v>
      </c>
      <c r="G642" s="14">
        <v>22.424242424242401</v>
      </c>
      <c r="H642" s="2">
        <v>0</v>
      </c>
      <c r="I642" s="301">
        <v>0</v>
      </c>
      <c r="J642" s="14">
        <v>18.787877999999999</v>
      </c>
      <c r="L642" s="2">
        <v>37</v>
      </c>
      <c r="M642" s="301">
        <v>4.8941798941798939E-2</v>
      </c>
      <c r="N642" s="2">
        <v>27.878787878787801</v>
      </c>
      <c r="O642" s="2">
        <v>37</v>
      </c>
      <c r="P642" s="301">
        <v>5.4977711738484397E-2</v>
      </c>
      <c r="Q642" s="14">
        <v>22.424242424242401</v>
      </c>
      <c r="R642" s="2">
        <v>20</v>
      </c>
      <c r="S642" s="301">
        <v>1.1507479861910242E-2</v>
      </c>
      <c r="T642" s="14">
        <v>15.757576</v>
      </c>
      <c r="U642" s="301">
        <v>-0.45945945945945948</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1828</v>
      </c>
      <c r="B643" s="2">
        <v>0</v>
      </c>
      <c r="C643" s="301">
        <v>0</v>
      </c>
      <c r="D643" s="2">
        <v>80</v>
      </c>
      <c r="E643" s="2">
        <v>10</v>
      </c>
      <c r="F643" s="301">
        <v>3.0120481927710843E-2</v>
      </c>
      <c r="G643" s="14">
        <v>10.303030303030299</v>
      </c>
      <c r="H643" s="2">
        <v>0</v>
      </c>
      <c r="I643" s="301">
        <v>0</v>
      </c>
      <c r="J643" s="14">
        <v>18.787877999999999</v>
      </c>
      <c r="L643" s="2">
        <v>0</v>
      </c>
      <c r="M643" s="301">
        <v>0</v>
      </c>
      <c r="N643" s="2">
        <v>80</v>
      </c>
      <c r="O643" s="2">
        <v>10</v>
      </c>
      <c r="P643" s="301">
        <v>1.4858841010401188E-2</v>
      </c>
      <c r="Q643" s="14">
        <v>10.303030303030299</v>
      </c>
      <c r="R643" s="2">
        <v>6</v>
      </c>
      <c r="S643" s="301">
        <v>3.4522439585730723E-3</v>
      </c>
      <c r="T643" s="14">
        <v>6.0606059999999999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1829</v>
      </c>
      <c r="B644" s="2">
        <v>0</v>
      </c>
      <c r="C644" s="301">
        <v>0</v>
      </c>
      <c r="D644" s="2">
        <v>80</v>
      </c>
      <c r="E644" s="2">
        <v>0</v>
      </c>
      <c r="F644" s="301">
        <v>0</v>
      </c>
      <c r="G644" s="14">
        <v>16.969696969696901</v>
      </c>
      <c r="H644" s="2">
        <v>0</v>
      </c>
      <c r="I644" s="301">
        <v>0</v>
      </c>
      <c r="J644" s="14">
        <v>18.787877999999999</v>
      </c>
      <c r="L644" s="2">
        <v>0</v>
      </c>
      <c r="M644" s="301">
        <v>0</v>
      </c>
      <c r="N644" s="2">
        <v>80</v>
      </c>
      <c r="O644" s="2">
        <v>0</v>
      </c>
      <c r="P644" s="301">
        <v>0</v>
      </c>
      <c r="Q644" s="14">
        <v>16.969696969696901</v>
      </c>
      <c r="R644" s="2">
        <v>0</v>
      </c>
      <c r="S644" s="301">
        <v>0</v>
      </c>
      <c r="T644" s="14">
        <v>18.787877999999999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1830</v>
      </c>
      <c r="B645" s="2">
        <v>0</v>
      </c>
      <c r="C645" s="301">
        <v>0</v>
      </c>
      <c r="D645" s="2">
        <v>80</v>
      </c>
      <c r="E645" s="2">
        <v>27</v>
      </c>
      <c r="F645" s="301">
        <v>8.1325301204819275E-2</v>
      </c>
      <c r="G645" s="14">
        <v>18.7878787878787</v>
      </c>
      <c r="H645" s="2">
        <v>0</v>
      </c>
      <c r="I645" s="301">
        <v>0</v>
      </c>
      <c r="J645" s="14">
        <v>18.787877999999999</v>
      </c>
      <c r="L645" s="2">
        <v>37</v>
      </c>
      <c r="M645" s="301">
        <v>4.8941798941798939E-2</v>
      </c>
      <c r="N645" s="2">
        <v>27.878787878787801</v>
      </c>
      <c r="O645" s="2">
        <v>27</v>
      </c>
      <c r="P645" s="301">
        <v>4.0118870728083213E-2</v>
      </c>
      <c r="Q645" s="14">
        <v>18.7878787878787</v>
      </c>
      <c r="R645" s="2">
        <v>14</v>
      </c>
      <c r="S645" s="301">
        <v>8.0552359033371698E-3</v>
      </c>
      <c r="T645" s="14">
        <v>15.757576</v>
      </c>
      <c r="U645" s="301">
        <v>-0.6216216216216216</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1831</v>
      </c>
      <c r="B646" s="2">
        <v>0</v>
      </c>
      <c r="C646" s="301">
        <v>0</v>
      </c>
      <c r="D646" s="2">
        <v>80</v>
      </c>
      <c r="E646" s="2">
        <v>0</v>
      </c>
      <c r="F646" s="301">
        <v>0</v>
      </c>
      <c r="G646" s="14">
        <v>16.969696969696901</v>
      </c>
      <c r="H646" s="2">
        <v>0</v>
      </c>
      <c r="I646" s="301">
        <v>0</v>
      </c>
      <c r="J646" s="14">
        <v>18.787877999999999</v>
      </c>
      <c r="L646" s="2">
        <v>19</v>
      </c>
      <c r="M646" s="301">
        <v>2.5132275132275131E-2</v>
      </c>
      <c r="N646" s="2">
        <v>14.545454545454501</v>
      </c>
      <c r="O646" s="2">
        <v>9</v>
      </c>
      <c r="P646" s="301">
        <v>1.3372956909361069E-2</v>
      </c>
      <c r="Q646" s="14">
        <v>8.4848484848484809</v>
      </c>
      <c r="R646" s="2">
        <v>45</v>
      </c>
      <c r="S646" s="301">
        <v>2.5891829689298044E-2</v>
      </c>
      <c r="T646" s="14">
        <v>25.454546000000001</v>
      </c>
      <c r="U646" s="301">
        <v>1.368421052631579</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1771</v>
      </c>
      <c r="B647" s="2">
        <v>47</v>
      </c>
      <c r="C647" s="301">
        <v>0.32413793103448274</v>
      </c>
      <c r="D647" s="2">
        <v>26.060606060605998</v>
      </c>
      <c r="E647" s="2">
        <v>63</v>
      </c>
      <c r="F647" s="301">
        <v>0.18975903614457831</v>
      </c>
      <c r="G647" s="14">
        <v>35.757575757575701</v>
      </c>
      <c r="H647" s="2">
        <v>291</v>
      </c>
      <c r="I647" s="301">
        <v>0.34275618374558303</v>
      </c>
      <c r="J647" s="14">
        <v>106.666664</v>
      </c>
      <c r="K647" s="301">
        <v>5.1914893617021276</v>
      </c>
      <c r="L647" s="2">
        <v>76</v>
      </c>
      <c r="M647" s="301">
        <v>0.10052910052910052</v>
      </c>
      <c r="N647" s="2">
        <v>31.515151515151501</v>
      </c>
      <c r="O647" s="2">
        <v>154</v>
      </c>
      <c r="P647" s="301">
        <v>0.2288261515601783</v>
      </c>
      <c r="Q647" s="14">
        <v>54.545454545454497</v>
      </c>
      <c r="R647" s="2">
        <v>362</v>
      </c>
      <c r="S647" s="301">
        <v>0.20828538550057538</v>
      </c>
      <c r="T647" s="14">
        <v>109.696968</v>
      </c>
      <c r="U647" s="301">
        <v>3.763157894736842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1827</v>
      </c>
      <c r="B648" s="2">
        <v>47</v>
      </c>
      <c r="C648" s="301">
        <v>0.32413793103448274</v>
      </c>
      <c r="D648" s="2">
        <v>26.060606060605998</v>
      </c>
      <c r="E648" s="2">
        <v>48</v>
      </c>
      <c r="F648" s="301">
        <v>0.14457831325301204</v>
      </c>
      <c r="G648" s="14">
        <v>32.727272727272698</v>
      </c>
      <c r="H648" s="2">
        <v>291</v>
      </c>
      <c r="I648" s="301">
        <v>0.34275618374558303</v>
      </c>
      <c r="J648" s="14">
        <v>106.666664</v>
      </c>
      <c r="K648" s="301">
        <v>5.1914893617021276</v>
      </c>
      <c r="L648" s="2">
        <v>67</v>
      </c>
      <c r="M648" s="301">
        <v>8.8624338624338619E-2</v>
      </c>
      <c r="N648" s="2">
        <v>29.696969696969699</v>
      </c>
      <c r="O648" s="2">
        <v>122</v>
      </c>
      <c r="P648" s="301">
        <v>0.1812778603268945</v>
      </c>
      <c r="Q648" s="14">
        <v>50.303030303030297</v>
      </c>
      <c r="R648" s="2">
        <v>351</v>
      </c>
      <c r="S648" s="301">
        <v>0.20195627157652474</v>
      </c>
      <c r="T648" s="14">
        <v>108.484848</v>
      </c>
      <c r="U648" s="301">
        <v>4.2388059701492535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1828</v>
      </c>
      <c r="B649" s="2">
        <v>0</v>
      </c>
      <c r="C649" s="301">
        <v>0</v>
      </c>
      <c r="D649" s="2">
        <v>80</v>
      </c>
      <c r="E649" s="2">
        <v>0</v>
      </c>
      <c r="F649" s="301">
        <v>0</v>
      </c>
      <c r="G649" s="14">
        <v>16.969696969696901</v>
      </c>
      <c r="H649" s="2">
        <v>22</v>
      </c>
      <c r="I649" s="301">
        <v>2.591283863368669E-2</v>
      </c>
      <c r="J649" s="14">
        <v>20.606059999999999</v>
      </c>
      <c r="L649" s="2">
        <v>0</v>
      </c>
      <c r="M649" s="301">
        <v>0</v>
      </c>
      <c r="N649" s="2">
        <v>80</v>
      </c>
      <c r="O649" s="2">
        <v>0</v>
      </c>
      <c r="P649" s="301">
        <v>0</v>
      </c>
      <c r="Q649" s="14">
        <v>16.969696969696901</v>
      </c>
      <c r="R649" s="2">
        <v>49</v>
      </c>
      <c r="S649" s="301">
        <v>2.8193325661680091E-2</v>
      </c>
      <c r="T649" s="14">
        <v>32.727271999999999</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1829</v>
      </c>
      <c r="B650" s="2">
        <v>11</v>
      </c>
      <c r="C650" s="301">
        <v>7.586206896551724E-2</v>
      </c>
      <c r="D650" s="2">
        <v>10.909090909090899</v>
      </c>
      <c r="E650" s="2">
        <v>8</v>
      </c>
      <c r="F650" s="301">
        <v>2.4096385542168676E-2</v>
      </c>
      <c r="G650" s="14">
        <v>7.8787878787878798</v>
      </c>
      <c r="H650" s="2">
        <v>125</v>
      </c>
      <c r="I650" s="301">
        <v>0.14723203769140164</v>
      </c>
      <c r="J650" s="14">
        <v>89.090909999999994</v>
      </c>
      <c r="K650" s="301">
        <v>10.363636363636363</v>
      </c>
      <c r="L650" s="2">
        <v>11</v>
      </c>
      <c r="M650" s="301">
        <v>1.4550264550264549E-2</v>
      </c>
      <c r="N650" s="2">
        <v>10.909090909090899</v>
      </c>
      <c r="O650" s="2">
        <v>8</v>
      </c>
      <c r="P650" s="301">
        <v>1.188707280832095E-2</v>
      </c>
      <c r="Q650" s="14">
        <v>7.8787878787878798</v>
      </c>
      <c r="R650" s="2">
        <v>125</v>
      </c>
      <c r="S650" s="301">
        <v>7.1921749136939009E-2</v>
      </c>
      <c r="T650" s="14">
        <v>89.090909999999994</v>
      </c>
      <c r="U650" s="301">
        <v>10.363636363636363</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1830</v>
      </c>
      <c r="B651" s="2">
        <v>36</v>
      </c>
      <c r="C651" s="301">
        <v>0.24827586206896551</v>
      </c>
      <c r="D651" s="2">
        <v>24.2424242424242</v>
      </c>
      <c r="E651" s="2">
        <v>40</v>
      </c>
      <c r="F651" s="301">
        <v>0.12048192771084337</v>
      </c>
      <c r="G651" s="14">
        <v>31.515151515151501</v>
      </c>
      <c r="H651" s="2">
        <v>144</v>
      </c>
      <c r="I651" s="301">
        <v>0.16961130742049471</v>
      </c>
      <c r="J651" s="14">
        <v>76.363640000000004</v>
      </c>
      <c r="K651" s="301">
        <v>3</v>
      </c>
      <c r="L651" s="2">
        <v>56</v>
      </c>
      <c r="M651" s="301">
        <v>7.407407407407407E-2</v>
      </c>
      <c r="N651" s="2">
        <v>27.272727272727199</v>
      </c>
      <c r="O651" s="2">
        <v>114</v>
      </c>
      <c r="P651" s="301">
        <v>0.16939078751857356</v>
      </c>
      <c r="Q651" s="14">
        <v>49.090909090909101</v>
      </c>
      <c r="R651" s="2">
        <v>177</v>
      </c>
      <c r="S651" s="301">
        <v>0.10184119677790564</v>
      </c>
      <c r="T651" s="14">
        <v>81.818183899999994</v>
      </c>
      <c r="U651" s="301">
        <v>2.1607142857142856</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1831</v>
      </c>
      <c r="B652" s="2">
        <v>0</v>
      </c>
      <c r="C652" s="301">
        <v>0</v>
      </c>
      <c r="D652" s="2">
        <v>80</v>
      </c>
      <c r="E652" s="2">
        <v>15</v>
      </c>
      <c r="F652" s="301">
        <v>4.5180722891566265E-2</v>
      </c>
      <c r="G652" s="14">
        <v>15.151515151515101</v>
      </c>
      <c r="H652" s="2">
        <v>0</v>
      </c>
      <c r="I652" s="301">
        <v>0</v>
      </c>
      <c r="J652" s="14">
        <v>18.787877999999999</v>
      </c>
      <c r="L652" s="2">
        <v>9</v>
      </c>
      <c r="M652" s="301">
        <v>1.1904761904761904E-2</v>
      </c>
      <c r="N652" s="2">
        <v>9.6969696969696901</v>
      </c>
      <c r="O652" s="2">
        <v>32</v>
      </c>
      <c r="P652" s="301">
        <v>4.7548291233283801E-2</v>
      </c>
      <c r="Q652" s="14">
        <v>19.393939393939299</v>
      </c>
      <c r="R652" s="2">
        <v>11</v>
      </c>
      <c r="S652" s="301">
        <v>6.3291139240506328E-3</v>
      </c>
      <c r="T652" s="14">
        <v>9.0909089999999999</v>
      </c>
      <c r="U652" s="301">
        <v>0.22222222222222221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1839</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1706</v>
      </c>
      <c r="C655" s="304"/>
      <c r="D655" s="304" t="s">
        <v>1707</v>
      </c>
      <c r="E655" s="304" t="s">
        <v>1706</v>
      </c>
      <c r="F655" s="304"/>
      <c r="G655" s="304" t="s">
        <v>1707</v>
      </c>
      <c r="H655" s="304" t="s">
        <v>1706</v>
      </c>
      <c r="I655" s="304"/>
      <c r="J655" s="304" t="s">
        <v>1707</v>
      </c>
      <c r="K655" t="s">
        <v>172</v>
      </c>
      <c r="L655" s="304" t="s">
        <v>1706</v>
      </c>
      <c r="M655" s="304"/>
      <c r="N655" s="304" t="s">
        <v>1707</v>
      </c>
      <c r="O655" s="304" t="s">
        <v>1706</v>
      </c>
      <c r="P655" s="304"/>
      <c r="Q655" s="304" t="s">
        <v>1707</v>
      </c>
      <c r="R655" s="304" t="s">
        <v>1706</v>
      </c>
      <c r="S655" s="304"/>
      <c r="T655" s="304" t="s">
        <v>1707</v>
      </c>
      <c r="U655" t="s">
        <v>172</v>
      </c>
      <c r="V655" s="207" t="s">
        <v>1706</v>
      </c>
      <c r="W655" s="207"/>
      <c r="X655" s="207" t="s">
        <v>1707</v>
      </c>
      <c r="Y655" s="207" t="s">
        <v>1706</v>
      </c>
      <c r="Z655" s="207"/>
      <c r="AA655" s="207" t="s">
        <v>1707</v>
      </c>
      <c r="AB655" s="207" t="s">
        <v>1706</v>
      </c>
      <c r="AC655" s="207"/>
      <c r="AD655" s="207" t="s">
        <v>1707</v>
      </c>
      <c r="AE655" t="s">
        <v>172</v>
      </c>
    </row>
    <row r="656" spans="1:31" x14ac:dyDescent="0.3">
      <c r="A656" t="s">
        <v>174</v>
      </c>
      <c r="B656" s="2">
        <v>3205</v>
      </c>
      <c r="C656" t="s">
        <v>172</v>
      </c>
      <c r="D656" s="2">
        <v>175.15151515151501</v>
      </c>
      <c r="E656" s="2">
        <v>2419</v>
      </c>
      <c r="F656" t="s">
        <v>172</v>
      </c>
      <c r="G656" s="14">
        <v>193.939393939393</v>
      </c>
      <c r="H656" s="2">
        <v>2619</v>
      </c>
      <c r="I656" t="s">
        <v>172</v>
      </c>
      <c r="J656" s="14">
        <v>201.21212800000001</v>
      </c>
      <c r="K656" s="301">
        <v>-0.18283931357254291</v>
      </c>
      <c r="L656" s="2">
        <v>16398</v>
      </c>
      <c r="M656" t="s">
        <v>172</v>
      </c>
      <c r="N656" s="2">
        <v>228.48484848484799</v>
      </c>
      <c r="O656" s="2">
        <v>14662</v>
      </c>
      <c r="P656" t="s">
        <v>172</v>
      </c>
      <c r="Q656" s="14">
        <v>274.54545454545399</v>
      </c>
      <c r="R656" s="2">
        <v>14640</v>
      </c>
      <c r="S656" t="s">
        <v>172</v>
      </c>
      <c r="T656" s="14">
        <v>303.03030000000001</v>
      </c>
      <c r="U656" s="301">
        <v>-0.10720819612147824</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1804</v>
      </c>
      <c r="B657" s="2">
        <v>318</v>
      </c>
      <c r="C657" s="301">
        <v>9.9219968798751945E-2</v>
      </c>
      <c r="D657" s="2">
        <v>86.060606060606005</v>
      </c>
      <c r="E657" s="2">
        <v>163</v>
      </c>
      <c r="F657" s="301">
        <v>6.7383216205043409E-2</v>
      </c>
      <c r="G657" s="14">
        <v>62.424242424242401</v>
      </c>
      <c r="H657" s="2">
        <v>177</v>
      </c>
      <c r="I657" s="301">
        <v>6.7583046964490259E-2</v>
      </c>
      <c r="J657" s="14">
        <v>51.515152</v>
      </c>
      <c r="K657" s="301">
        <v>-0.44339622641509435</v>
      </c>
      <c r="L657" s="2">
        <v>1132</v>
      </c>
      <c r="M657" s="301">
        <v>6.9032808879131602E-2</v>
      </c>
      <c r="N657" s="2">
        <v>146.666666666666</v>
      </c>
      <c r="O657" s="2">
        <v>1281</v>
      </c>
      <c r="P657" s="301">
        <v>8.7368708225344427E-2</v>
      </c>
      <c r="Q657" s="14">
        <v>159.39393939393901</v>
      </c>
      <c r="R657" s="2">
        <v>832</v>
      </c>
      <c r="S657" s="301">
        <v>5.6830601092896178E-2</v>
      </c>
      <c r="T657" s="14">
        <v>138.18182400000001</v>
      </c>
      <c r="U657" s="301">
        <v>-0.26501766784452296</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1768</v>
      </c>
      <c r="B658" s="2">
        <v>198</v>
      </c>
      <c r="C658" s="301">
        <v>6.1778471138845555E-2</v>
      </c>
      <c r="D658" s="2">
        <v>66.060606060606005</v>
      </c>
      <c r="E658" s="2">
        <v>43</v>
      </c>
      <c r="F658" s="301">
        <v>1.7775940471269118E-2</v>
      </c>
      <c r="G658" s="14">
        <v>27.878787878787801</v>
      </c>
      <c r="H658" s="2">
        <v>75</v>
      </c>
      <c r="I658" s="301">
        <v>2.8636884306987399E-2</v>
      </c>
      <c r="J658" s="14">
        <v>33.3333321</v>
      </c>
      <c r="K658" s="301">
        <v>-0.62121212121212122</v>
      </c>
      <c r="L658" s="2">
        <v>631</v>
      </c>
      <c r="M658" s="301">
        <v>3.84803024759117E-2</v>
      </c>
      <c r="N658" s="2">
        <v>113.333333333333</v>
      </c>
      <c r="O658" s="2">
        <v>871</v>
      </c>
      <c r="P658" s="301">
        <v>5.9405265311690082E-2</v>
      </c>
      <c r="Q658" s="14">
        <v>137.575757575757</v>
      </c>
      <c r="R658" s="2">
        <v>341</v>
      </c>
      <c r="S658" s="301">
        <v>2.3292349726775956E-2</v>
      </c>
      <c r="T658" s="14">
        <v>78.181816100000006</v>
      </c>
      <c r="U658" s="301">
        <v>-0.45958795562599047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1822</v>
      </c>
      <c r="B659" s="2">
        <v>79</v>
      </c>
      <c r="C659" s="301">
        <v>2.4648985959438378E-2</v>
      </c>
      <c r="D659" s="2">
        <v>41.212121212121197</v>
      </c>
      <c r="E659" s="2">
        <v>6</v>
      </c>
      <c r="F659" s="301">
        <v>2.4803637866887144E-3</v>
      </c>
      <c r="G659" s="14">
        <v>5.4545454545454497</v>
      </c>
      <c r="H659" s="2">
        <v>61</v>
      </c>
      <c r="I659" s="301">
        <v>2.3291332569683087E-2</v>
      </c>
      <c r="J659" s="14">
        <v>30.909089999999999</v>
      </c>
      <c r="K659" s="301">
        <v>-0.22784810126582278</v>
      </c>
      <c r="L659" s="2">
        <v>265</v>
      </c>
      <c r="M659" s="301">
        <v>1.6160507378948651E-2</v>
      </c>
      <c r="N659" s="2">
        <v>72.727272727272705</v>
      </c>
      <c r="O659" s="2">
        <v>416</v>
      </c>
      <c r="P659" s="301">
        <v>2.837266402946392E-2</v>
      </c>
      <c r="Q659" s="14">
        <v>98.787878787878796</v>
      </c>
      <c r="R659" s="2">
        <v>172</v>
      </c>
      <c r="S659" s="301">
        <v>1.1748633879781421E-2</v>
      </c>
      <c r="T659" s="14">
        <v>62.4242439</v>
      </c>
      <c r="U659" s="301">
        <v>-0.35094339622641507</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1823</v>
      </c>
      <c r="B660" s="2">
        <v>0</v>
      </c>
      <c r="C660" s="301">
        <v>0</v>
      </c>
      <c r="D660" s="2">
        <v>80</v>
      </c>
      <c r="E660" s="2">
        <v>0</v>
      </c>
      <c r="F660" s="301">
        <v>0</v>
      </c>
      <c r="G660" s="14">
        <v>16.969696969696901</v>
      </c>
      <c r="H660" s="2">
        <v>0</v>
      </c>
      <c r="I660" s="301">
        <v>0</v>
      </c>
      <c r="J660" s="14">
        <v>18.787877999999999</v>
      </c>
      <c r="L660" s="2">
        <v>18</v>
      </c>
      <c r="M660" s="301">
        <v>1.0976948408342481E-3</v>
      </c>
      <c r="N660" s="2">
        <v>16.969696969696901</v>
      </c>
      <c r="O660" s="2">
        <v>68</v>
      </c>
      <c r="P660" s="301">
        <v>4.6378393125085255E-3</v>
      </c>
      <c r="Q660" s="14">
        <v>41.212121212121197</v>
      </c>
      <c r="R660" s="2">
        <v>43</v>
      </c>
      <c r="S660" s="301">
        <v>2.9371584699453552E-3</v>
      </c>
      <c r="T660" s="14">
        <v>42.4242439</v>
      </c>
      <c r="U660" s="301">
        <v>1.3888888888888888</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1824</v>
      </c>
      <c r="B661" s="2">
        <v>34</v>
      </c>
      <c r="C661" s="301">
        <v>1.0608424336973479E-2</v>
      </c>
      <c r="D661" s="2">
        <v>21.2121212121212</v>
      </c>
      <c r="E661" s="2">
        <v>0</v>
      </c>
      <c r="F661" s="301">
        <v>0</v>
      </c>
      <c r="G661" s="14">
        <v>16.969696969696901</v>
      </c>
      <c r="H661" s="2">
        <v>0</v>
      </c>
      <c r="I661" s="301">
        <v>0</v>
      </c>
      <c r="J661" s="14">
        <v>18.787877999999999</v>
      </c>
      <c r="K661" s="301">
        <v>-1</v>
      </c>
      <c r="L661" s="2">
        <v>38</v>
      </c>
      <c r="M661" s="301">
        <v>2.3173557750945238E-3</v>
      </c>
      <c r="N661" s="2">
        <v>21.818181818181799</v>
      </c>
      <c r="O661" s="2">
        <v>173</v>
      </c>
      <c r="P661" s="301">
        <v>1.1799208839176102E-2</v>
      </c>
      <c r="Q661" s="14">
        <v>60</v>
      </c>
      <c r="R661" s="2">
        <v>0</v>
      </c>
      <c r="S661" s="301">
        <v>0</v>
      </c>
      <c r="T661" s="14">
        <v>18.787877999999999</v>
      </c>
      <c r="U661" s="301">
        <v>-1</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1825</v>
      </c>
      <c r="B662" s="2">
        <v>45</v>
      </c>
      <c r="C662" s="301">
        <v>1.4040561622464899E-2</v>
      </c>
      <c r="D662" s="2">
        <v>35.757575757575701</v>
      </c>
      <c r="E662" s="2">
        <v>6</v>
      </c>
      <c r="F662" s="301">
        <v>2.4803637866887144E-3</v>
      </c>
      <c r="G662" s="14">
        <v>5.4545454545454497</v>
      </c>
      <c r="H662" s="2">
        <v>61</v>
      </c>
      <c r="I662" s="301">
        <v>2.3291332569683087E-2</v>
      </c>
      <c r="J662" s="14">
        <v>30.909089999999999</v>
      </c>
      <c r="K662" s="301">
        <v>0.35555555555555557</v>
      </c>
      <c r="L662" s="2">
        <v>209</v>
      </c>
      <c r="M662" s="301">
        <v>1.274545676301988E-2</v>
      </c>
      <c r="N662" s="2">
        <v>68.484848484848399</v>
      </c>
      <c r="O662" s="2">
        <v>175</v>
      </c>
      <c r="P662" s="301">
        <v>1.1935615877779294E-2</v>
      </c>
      <c r="Q662" s="14">
        <v>64.242424242424207</v>
      </c>
      <c r="R662" s="2">
        <v>129</v>
      </c>
      <c r="S662" s="301">
        <v>8.8114754098360653E-3</v>
      </c>
      <c r="T662" s="14">
        <v>46.060607900000001</v>
      </c>
      <c r="U662" s="301">
        <v>-0.38277511961722488</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1826</v>
      </c>
      <c r="B663" s="2">
        <v>119</v>
      </c>
      <c r="C663" s="301">
        <v>3.7129485179407173E-2</v>
      </c>
      <c r="D663" s="2">
        <v>47.272727272727202</v>
      </c>
      <c r="E663" s="2">
        <v>37</v>
      </c>
      <c r="F663" s="301">
        <v>1.5295576684580404E-2</v>
      </c>
      <c r="G663" s="14">
        <v>27.272727272727199</v>
      </c>
      <c r="H663" s="2">
        <v>14</v>
      </c>
      <c r="I663" s="301">
        <v>5.3455517373043144E-3</v>
      </c>
      <c r="J663" s="14">
        <v>14.545455</v>
      </c>
      <c r="K663" s="301">
        <v>-0.88235294117647056</v>
      </c>
      <c r="L663" s="2">
        <v>366</v>
      </c>
      <c r="M663" s="301">
        <v>2.2319795096963045E-2</v>
      </c>
      <c r="N663" s="2">
        <v>74.545454545454504</v>
      </c>
      <c r="O663" s="2">
        <v>455</v>
      </c>
      <c r="P663" s="301">
        <v>3.1032601282226163E-2</v>
      </c>
      <c r="Q663" s="14">
        <v>92.121212121212096</v>
      </c>
      <c r="R663" s="2">
        <v>169</v>
      </c>
      <c r="S663" s="301">
        <v>1.1543715846994535E-2</v>
      </c>
      <c r="T663" s="14">
        <v>52.727271999999999</v>
      </c>
      <c r="U663" s="301">
        <v>-0.53825136612021862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1769</v>
      </c>
      <c r="B664" s="2">
        <v>120</v>
      </c>
      <c r="C664" s="301">
        <v>3.7441497659906398E-2</v>
      </c>
      <c r="D664" s="2">
        <v>55.151515151515099</v>
      </c>
      <c r="E664" s="2">
        <v>120</v>
      </c>
      <c r="F664" s="301">
        <v>4.9607275733774284E-2</v>
      </c>
      <c r="G664" s="14">
        <v>54.545454545454497</v>
      </c>
      <c r="H664" s="2">
        <v>102</v>
      </c>
      <c r="I664" s="301">
        <v>3.8946162657502864E-2</v>
      </c>
      <c r="J664" s="14">
        <v>38.181820000000002</v>
      </c>
      <c r="K664" s="301">
        <v>-0.15</v>
      </c>
      <c r="L664" s="2">
        <v>501</v>
      </c>
      <c r="M664" s="301">
        <v>3.0552506403219905E-2</v>
      </c>
      <c r="N664" s="2">
        <v>100.60606060606</v>
      </c>
      <c r="O664" s="2">
        <v>410</v>
      </c>
      <c r="P664" s="301">
        <v>2.7963442913654345E-2</v>
      </c>
      <c r="Q664" s="14">
        <v>91.515151515151501</v>
      </c>
      <c r="R664" s="2">
        <v>491</v>
      </c>
      <c r="S664" s="301">
        <v>3.3538251366120216E-2</v>
      </c>
      <c r="T664" s="14">
        <v>110.909088</v>
      </c>
      <c r="U664" s="301">
        <v>-1.9960079840319361E-2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1770</v>
      </c>
      <c r="B665" s="2">
        <v>0</v>
      </c>
      <c r="C665" s="301">
        <v>0</v>
      </c>
      <c r="D665" s="2">
        <v>80</v>
      </c>
      <c r="E665" s="2">
        <v>40</v>
      </c>
      <c r="F665" s="301">
        <v>1.6535758577924761E-2</v>
      </c>
      <c r="G665" s="14">
        <v>27.272727272727199</v>
      </c>
      <c r="H665" s="2">
        <v>37</v>
      </c>
      <c r="I665" s="301">
        <v>1.4127529591447117E-2</v>
      </c>
      <c r="J665" s="14">
        <v>24.848483999999999</v>
      </c>
      <c r="L665" s="2">
        <v>87</v>
      </c>
      <c r="M665" s="301">
        <v>5.305525064032199E-3</v>
      </c>
      <c r="N665" s="2">
        <v>36.969696969696898</v>
      </c>
      <c r="O665" s="2">
        <v>111</v>
      </c>
      <c r="P665" s="301">
        <v>7.5705906424771516E-3</v>
      </c>
      <c r="Q665" s="14">
        <v>45.454545454545404</v>
      </c>
      <c r="R665" s="2">
        <v>108</v>
      </c>
      <c r="S665" s="301">
        <v>7.3770491803278691E-3</v>
      </c>
      <c r="T665" s="14">
        <v>42.4242439</v>
      </c>
      <c r="U665" s="301">
        <v>0.2413793103448276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1827</v>
      </c>
      <c r="B666" s="2">
        <v>0</v>
      </c>
      <c r="C666" s="301">
        <v>0</v>
      </c>
      <c r="D666" s="2">
        <v>80</v>
      </c>
      <c r="E666" s="2">
        <v>40</v>
      </c>
      <c r="F666" s="301">
        <v>1.6535758577924761E-2</v>
      </c>
      <c r="G666" s="14">
        <v>27.272727272727199</v>
      </c>
      <c r="H666" s="2">
        <v>22</v>
      </c>
      <c r="I666" s="301">
        <v>8.4001527300496381E-3</v>
      </c>
      <c r="J666" s="14">
        <v>20.606059999999999</v>
      </c>
      <c r="L666" s="2">
        <v>77</v>
      </c>
      <c r="M666" s="301">
        <v>4.695694596902061E-3</v>
      </c>
      <c r="N666" s="2">
        <v>38.787878787878697</v>
      </c>
      <c r="O666" s="2">
        <v>61</v>
      </c>
      <c r="P666" s="301">
        <v>4.1604146773973538E-3</v>
      </c>
      <c r="Q666" s="14">
        <v>30.909090909090899</v>
      </c>
      <c r="R666" s="2">
        <v>59</v>
      </c>
      <c r="S666" s="301">
        <v>4.0300546448087428E-3</v>
      </c>
      <c r="T666" s="14">
        <v>35.151516000000001</v>
      </c>
      <c r="U666" s="301">
        <v>-0.23376623376623376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1828</v>
      </c>
      <c r="B667" s="2">
        <v>0</v>
      </c>
      <c r="C667" s="301">
        <v>0</v>
      </c>
      <c r="D667" s="2">
        <v>80</v>
      </c>
      <c r="E667" s="2">
        <v>21</v>
      </c>
      <c r="F667" s="301">
        <v>8.6812732534105007E-3</v>
      </c>
      <c r="G667" s="14">
        <v>20.606060606060598</v>
      </c>
      <c r="H667" s="2">
        <v>0</v>
      </c>
      <c r="I667" s="301">
        <v>0</v>
      </c>
      <c r="J667" s="14">
        <v>18.787877999999999</v>
      </c>
      <c r="L667" s="2">
        <v>0</v>
      </c>
      <c r="M667" s="301">
        <v>0</v>
      </c>
      <c r="N667" s="2">
        <v>80</v>
      </c>
      <c r="O667" s="2">
        <v>29</v>
      </c>
      <c r="P667" s="301">
        <v>1.9779020597462827E-3</v>
      </c>
      <c r="Q667" s="14">
        <v>21.818181818181799</v>
      </c>
      <c r="R667" s="2">
        <v>0</v>
      </c>
      <c r="S667" s="301">
        <v>0</v>
      </c>
      <c r="T667" s="14">
        <v>18.787877999999999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1829</v>
      </c>
      <c r="B668" s="2">
        <v>0</v>
      </c>
      <c r="C668" s="301">
        <v>0</v>
      </c>
      <c r="D668" s="2">
        <v>80</v>
      </c>
      <c r="E668" s="2">
        <v>0</v>
      </c>
      <c r="F668" s="301">
        <v>0</v>
      </c>
      <c r="G668" s="14">
        <v>16.969696969696901</v>
      </c>
      <c r="H668" s="2">
        <v>0</v>
      </c>
      <c r="I668" s="301">
        <v>0</v>
      </c>
      <c r="J668" s="14">
        <v>18.787877999999999</v>
      </c>
      <c r="L668" s="2">
        <v>16</v>
      </c>
      <c r="M668" s="301">
        <v>9.7572874740822053E-4</v>
      </c>
      <c r="N668" s="2">
        <v>15.757575757575699</v>
      </c>
      <c r="O668" s="2">
        <v>0</v>
      </c>
      <c r="P668" s="301">
        <v>0</v>
      </c>
      <c r="Q668" s="14">
        <v>16.969696969696901</v>
      </c>
      <c r="R668" s="2">
        <v>0</v>
      </c>
      <c r="S668" s="301">
        <v>0</v>
      </c>
      <c r="T668" s="14">
        <v>18.787877999999999</v>
      </c>
      <c r="U668" s="301">
        <v>-1</v>
      </c>
      <c r="V668" s="2">
        <v>1879</v>
      </c>
      <c r="W668" s="27">
        <v>0</v>
      </c>
      <c r="X668" s="2">
        <v>204</v>
      </c>
      <c r="Y668" s="2">
        <v>3110</v>
      </c>
      <c r="Z668" s="27">
        <v>1E-3</v>
      </c>
      <c r="AA668" s="14">
        <v>259.39</v>
      </c>
      <c r="AB668" s="2">
        <v>2137</v>
      </c>
      <c r="AC668" s="27">
        <v>1E-3</v>
      </c>
      <c r="AD668" s="14">
        <v>293.94</v>
      </c>
      <c r="AE668" s="27">
        <v>0.13700000000000001</v>
      </c>
    </row>
    <row r="669" spans="1:31" x14ac:dyDescent="0.3">
      <c r="A669" t="s">
        <v>1830</v>
      </c>
      <c r="B669" s="2">
        <v>0</v>
      </c>
      <c r="C669" s="301">
        <v>0</v>
      </c>
      <c r="D669" s="2">
        <v>80</v>
      </c>
      <c r="E669" s="2">
        <v>19</v>
      </c>
      <c r="F669" s="301">
        <v>7.8544853245142623E-3</v>
      </c>
      <c r="G669" s="14">
        <v>18.181818181818102</v>
      </c>
      <c r="H669" s="2">
        <v>22</v>
      </c>
      <c r="I669" s="301">
        <v>8.4001527300496381E-3</v>
      </c>
      <c r="J669" s="14">
        <v>20.606059999999999</v>
      </c>
      <c r="L669" s="2">
        <v>61</v>
      </c>
      <c r="M669" s="301">
        <v>3.7199658494938407E-3</v>
      </c>
      <c r="N669" s="2">
        <v>35.151515151515099</v>
      </c>
      <c r="O669" s="2">
        <v>32</v>
      </c>
      <c r="P669" s="301">
        <v>2.1825126176510706E-3</v>
      </c>
      <c r="Q669" s="14">
        <v>22.424242424242401</v>
      </c>
      <c r="R669" s="2">
        <v>59</v>
      </c>
      <c r="S669" s="301">
        <v>4.0300546448087428E-3</v>
      </c>
      <c r="T669" s="14">
        <v>35.151516000000001</v>
      </c>
      <c r="U669" s="301">
        <v>-3.2786885245901641E-2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1831</v>
      </c>
      <c r="B670" s="2">
        <v>0</v>
      </c>
      <c r="C670" s="301">
        <v>0</v>
      </c>
      <c r="D670" s="2">
        <v>80</v>
      </c>
      <c r="E670" s="2">
        <v>0</v>
      </c>
      <c r="F670" s="301">
        <v>0</v>
      </c>
      <c r="G670" s="14">
        <v>16.969696969696901</v>
      </c>
      <c r="H670" s="2">
        <v>15</v>
      </c>
      <c r="I670" s="301">
        <v>5.7273768613974796E-3</v>
      </c>
      <c r="J670" s="14">
        <v>15.151515</v>
      </c>
      <c r="L670" s="2">
        <v>10</v>
      </c>
      <c r="M670" s="301">
        <v>6.0983046713013786E-4</v>
      </c>
      <c r="N670" s="2">
        <v>9.0909090909090899</v>
      </c>
      <c r="O670" s="2">
        <v>50</v>
      </c>
      <c r="P670" s="301">
        <v>3.4101759650797983E-3</v>
      </c>
      <c r="Q670" s="14">
        <v>32.121212121212103</v>
      </c>
      <c r="R670" s="2">
        <v>49</v>
      </c>
      <c r="S670" s="301">
        <v>3.3469945355191258E-3</v>
      </c>
      <c r="T670" s="14">
        <v>29.090910000000001</v>
      </c>
      <c r="U670" s="301">
        <v>3.9</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1771</v>
      </c>
      <c r="B671" s="2">
        <v>120</v>
      </c>
      <c r="C671" s="301">
        <v>3.7441497659906398E-2</v>
      </c>
      <c r="D671" s="2">
        <v>55.151515151515099</v>
      </c>
      <c r="E671" s="2">
        <v>80</v>
      </c>
      <c r="F671" s="301">
        <v>3.3071517155849522E-2</v>
      </c>
      <c r="G671" s="14">
        <v>46.6666666666666</v>
      </c>
      <c r="H671" s="2">
        <v>65</v>
      </c>
      <c r="I671" s="301">
        <v>2.4818633066055747E-2</v>
      </c>
      <c r="J671" s="14">
        <v>28.484848</v>
      </c>
      <c r="K671" s="301">
        <v>-0.45833333333333331</v>
      </c>
      <c r="L671" s="2">
        <v>414</v>
      </c>
      <c r="M671" s="301">
        <v>2.5246981339187707E-2</v>
      </c>
      <c r="N671" s="2">
        <v>100</v>
      </c>
      <c r="O671" s="2">
        <v>299</v>
      </c>
      <c r="P671" s="301">
        <v>2.0392852271177191E-2</v>
      </c>
      <c r="Q671" s="14">
        <v>82.424242424242394</v>
      </c>
      <c r="R671" s="2">
        <v>383</v>
      </c>
      <c r="S671" s="301">
        <v>2.6161202185792348E-2</v>
      </c>
      <c r="T671" s="14">
        <v>103.63636</v>
      </c>
      <c r="U671" s="301">
        <v>-7.4879227053140096E-2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1827</v>
      </c>
      <c r="B672" s="2">
        <v>98</v>
      </c>
      <c r="C672" s="301">
        <v>3.0577223088923557E-2</v>
      </c>
      <c r="D672" s="2">
        <v>51.515151515151501</v>
      </c>
      <c r="E672" s="2">
        <v>64</v>
      </c>
      <c r="F672" s="301">
        <v>2.6457213724679619E-2</v>
      </c>
      <c r="G672" s="14">
        <v>44.848484848484802</v>
      </c>
      <c r="H672" s="2">
        <v>38</v>
      </c>
      <c r="I672" s="301">
        <v>1.4509354715540282E-2</v>
      </c>
      <c r="J672" s="14">
        <v>25.454546000000001</v>
      </c>
      <c r="K672" s="301">
        <v>-0.61224489795918369</v>
      </c>
      <c r="L672" s="2">
        <v>356</v>
      </c>
      <c r="M672" s="301">
        <v>2.1709964629832906E-2</v>
      </c>
      <c r="N672" s="2">
        <v>95.151515151515099</v>
      </c>
      <c r="O672" s="2">
        <v>215</v>
      </c>
      <c r="P672" s="301">
        <v>1.4663756649843132E-2</v>
      </c>
      <c r="Q672" s="14">
        <v>70.909090909090907</v>
      </c>
      <c r="R672" s="2">
        <v>335</v>
      </c>
      <c r="S672" s="301">
        <v>2.2882513661202187E-2</v>
      </c>
      <c r="T672" s="14">
        <v>99.393936199999999</v>
      </c>
      <c r="U672" s="301">
        <v>-5.8988764044943819E-2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1828</v>
      </c>
      <c r="B673" s="2">
        <v>12</v>
      </c>
      <c r="C673" s="301">
        <v>3.7441497659906398E-3</v>
      </c>
      <c r="D673" s="2">
        <v>13.3333333333333</v>
      </c>
      <c r="E673" s="2">
        <v>0</v>
      </c>
      <c r="F673" s="301">
        <v>0</v>
      </c>
      <c r="G673" s="14">
        <v>16.969696969696901</v>
      </c>
      <c r="H673" s="2">
        <v>9</v>
      </c>
      <c r="I673" s="301">
        <v>3.4364261168384879E-3</v>
      </c>
      <c r="J673" s="14">
        <v>9.6969700000000003</v>
      </c>
      <c r="K673" s="301">
        <v>-0.25</v>
      </c>
      <c r="L673" s="2">
        <v>47</v>
      </c>
      <c r="M673" s="301">
        <v>2.8662031955116476E-3</v>
      </c>
      <c r="N673" s="2">
        <v>25.4545454545454</v>
      </c>
      <c r="O673" s="2">
        <v>11</v>
      </c>
      <c r="P673" s="301">
        <v>7.502387123175556E-4</v>
      </c>
      <c r="Q673" s="14">
        <v>10.909090909090899</v>
      </c>
      <c r="R673" s="2">
        <v>120</v>
      </c>
      <c r="S673" s="301">
        <v>8.1967213114754103E-3</v>
      </c>
      <c r="T673" s="14">
        <v>63.636364</v>
      </c>
      <c r="U673" s="301">
        <v>1.553191489361702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1829</v>
      </c>
      <c r="B674" s="2">
        <v>81</v>
      </c>
      <c r="C674" s="301">
        <v>2.5273010920436819E-2</v>
      </c>
      <c r="D674" s="2">
        <v>49.696969696969703</v>
      </c>
      <c r="E674" s="2">
        <v>0</v>
      </c>
      <c r="F674" s="301">
        <v>0</v>
      </c>
      <c r="G674" s="14">
        <v>16.969696969696901</v>
      </c>
      <c r="H674" s="2">
        <v>4</v>
      </c>
      <c r="I674" s="301">
        <v>1.5273004963726614E-3</v>
      </c>
      <c r="J674" s="14">
        <v>12.121212</v>
      </c>
      <c r="K674" s="301">
        <v>-0.95061728395061729</v>
      </c>
      <c r="L674" s="2">
        <v>149</v>
      </c>
      <c r="M674" s="301">
        <v>9.0864739602390544E-3</v>
      </c>
      <c r="N674" s="2">
        <v>70.909090909090907</v>
      </c>
      <c r="O674" s="2">
        <v>0</v>
      </c>
      <c r="P674" s="301">
        <v>0</v>
      </c>
      <c r="Q674" s="14">
        <v>16.969696969696901</v>
      </c>
      <c r="R674" s="2">
        <v>54</v>
      </c>
      <c r="S674" s="301">
        <v>3.6885245901639345E-3</v>
      </c>
      <c r="T674" s="14">
        <v>29.69697</v>
      </c>
      <c r="U674" s="301">
        <v>-0.63758389261744963</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1830</v>
      </c>
      <c r="B675" s="2">
        <v>5</v>
      </c>
      <c r="C675" s="301">
        <v>1.5600624024960999E-3</v>
      </c>
      <c r="D675" s="2">
        <v>4.8484848484848397</v>
      </c>
      <c r="E675" s="2">
        <v>64</v>
      </c>
      <c r="F675" s="301">
        <v>2.6457213724679619E-2</v>
      </c>
      <c r="G675" s="14">
        <v>44.848484848484802</v>
      </c>
      <c r="H675" s="2">
        <v>25</v>
      </c>
      <c r="I675" s="301">
        <v>9.5456281023291335E-3</v>
      </c>
      <c r="J675" s="14">
        <v>18.787877999999999</v>
      </c>
      <c r="K675" s="301">
        <v>4</v>
      </c>
      <c r="L675" s="2">
        <v>160</v>
      </c>
      <c r="M675" s="301">
        <v>9.7572874740822057E-3</v>
      </c>
      <c r="N675" s="2">
        <v>55.151515151515099</v>
      </c>
      <c r="O675" s="2">
        <v>204</v>
      </c>
      <c r="P675" s="301">
        <v>1.3913517937525577E-2</v>
      </c>
      <c r="Q675" s="14">
        <v>69.696969696969703</v>
      </c>
      <c r="R675" s="2">
        <v>161</v>
      </c>
      <c r="S675" s="301">
        <v>1.0997267759562841E-2</v>
      </c>
      <c r="T675" s="14">
        <v>64.242424</v>
      </c>
      <c r="U675" s="301">
        <v>6.2500000000000003E-3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1831</v>
      </c>
      <c r="B676" s="2">
        <v>22</v>
      </c>
      <c r="C676" s="301">
        <v>6.8642745709828392E-3</v>
      </c>
      <c r="D676" s="2">
        <v>20</v>
      </c>
      <c r="E676" s="2">
        <v>16</v>
      </c>
      <c r="F676" s="301">
        <v>6.6143034311699047E-3</v>
      </c>
      <c r="G676" s="14">
        <v>15.757575757575699</v>
      </c>
      <c r="H676" s="2">
        <v>27</v>
      </c>
      <c r="I676" s="301">
        <v>1.0309278350515464E-2</v>
      </c>
      <c r="J676" s="14">
        <v>18.787877999999999</v>
      </c>
      <c r="K676" s="301">
        <v>0.22727272727272727</v>
      </c>
      <c r="L676" s="2">
        <v>58</v>
      </c>
      <c r="M676" s="301">
        <v>3.5370167093547993E-3</v>
      </c>
      <c r="N676" s="2">
        <v>29.090909090909101</v>
      </c>
      <c r="O676" s="2">
        <v>84</v>
      </c>
      <c r="P676" s="301">
        <v>5.7290956213340606E-3</v>
      </c>
      <c r="Q676" s="14">
        <v>46.060606060605998</v>
      </c>
      <c r="R676" s="2">
        <v>48</v>
      </c>
      <c r="S676" s="301">
        <v>3.2786885245901639E-3</v>
      </c>
      <c r="T676" s="14">
        <v>21.818182</v>
      </c>
      <c r="U676" s="301">
        <v>-0.17241379310344829</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1820</v>
      </c>
      <c r="B677" s="2">
        <v>2887</v>
      </c>
      <c r="C677" s="301">
        <v>0.90078003120124805</v>
      </c>
      <c r="D677" s="2">
        <v>176.969696969696</v>
      </c>
      <c r="E677" s="2">
        <v>2256</v>
      </c>
      <c r="F677" s="301">
        <v>0.93261678379495661</v>
      </c>
      <c r="G677" s="14">
        <v>187.87878787878699</v>
      </c>
      <c r="H677" s="2">
        <v>2442</v>
      </c>
      <c r="I677" s="301">
        <v>0.93241695303550975</v>
      </c>
      <c r="J677" s="14">
        <v>186.66667200000001</v>
      </c>
      <c r="K677" s="301">
        <v>-0.1541392448908902</v>
      </c>
      <c r="L677" s="2">
        <v>15266</v>
      </c>
      <c r="M677" s="301">
        <v>0.93096719112086845</v>
      </c>
      <c r="N677" s="2">
        <v>249.09090909090901</v>
      </c>
      <c r="O677" s="2">
        <v>13381</v>
      </c>
      <c r="P677" s="301">
        <v>0.91263129177465552</v>
      </c>
      <c r="Q677" s="14">
        <v>284.84848484848402</v>
      </c>
      <c r="R677" s="2">
        <v>13808</v>
      </c>
      <c r="S677" s="301">
        <v>0.94316939890710383</v>
      </c>
      <c r="T677" s="14">
        <v>314.54544099999998</v>
      </c>
      <c r="U677" s="301">
        <v>-9.5506353989257178E-2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1768</v>
      </c>
      <c r="B678" s="2">
        <v>2207</v>
      </c>
      <c r="C678" s="301">
        <v>0.68861154446177852</v>
      </c>
      <c r="D678" s="2">
        <v>168.48484848484799</v>
      </c>
      <c r="E678" s="2">
        <v>1627</v>
      </c>
      <c r="F678" s="301">
        <v>0.67259198015708965</v>
      </c>
      <c r="G678" s="2">
        <v>172.12121212121201</v>
      </c>
      <c r="H678" s="2">
        <v>1726</v>
      </c>
      <c r="I678" s="301">
        <v>0.65903016418480331</v>
      </c>
      <c r="J678" s="14">
        <v>175.75756799999999</v>
      </c>
      <c r="K678" s="301">
        <v>-0.2179429089261441</v>
      </c>
      <c r="L678" s="2">
        <v>12847</v>
      </c>
      <c r="M678" s="301">
        <v>0.78344920112208805</v>
      </c>
      <c r="N678" s="2">
        <v>281.81818181818102</v>
      </c>
      <c r="O678" s="2">
        <v>11503</v>
      </c>
      <c r="P678" s="301">
        <v>0.78454508252625832</v>
      </c>
      <c r="Q678" s="2">
        <v>288.48484848484799</v>
      </c>
      <c r="R678" s="2">
        <v>11494</v>
      </c>
      <c r="S678" s="301">
        <v>0.78510928961748638</v>
      </c>
      <c r="T678" s="14">
        <v>336.96969999999999</v>
      </c>
      <c r="U678" s="301">
        <v>-0.10531641628395734</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1822</v>
      </c>
      <c r="B679" s="2">
        <v>803</v>
      </c>
      <c r="C679" s="301">
        <v>0.25054602184087366</v>
      </c>
      <c r="D679" s="2">
        <v>114.54545454545401</v>
      </c>
      <c r="E679" s="2">
        <v>433</v>
      </c>
      <c r="F679" s="301">
        <v>0.17899958660603554</v>
      </c>
      <c r="G679" s="14">
        <v>95.757575757575694</v>
      </c>
      <c r="H679" s="2">
        <v>656</v>
      </c>
      <c r="I679" s="301">
        <v>0.25047728140511644</v>
      </c>
      <c r="J679" s="14">
        <v>110.303032</v>
      </c>
      <c r="K679" s="301">
        <v>-0.18306351183063513</v>
      </c>
      <c r="L679" s="2">
        <v>4560</v>
      </c>
      <c r="M679" s="301">
        <v>0.27808269301134286</v>
      </c>
      <c r="N679" s="2">
        <v>210.30303030303</v>
      </c>
      <c r="O679" s="2">
        <v>3362</v>
      </c>
      <c r="P679" s="301">
        <v>0.22930023189196563</v>
      </c>
      <c r="Q679" s="14">
        <v>218.18181818181799</v>
      </c>
      <c r="R679" s="2">
        <v>3608</v>
      </c>
      <c r="S679" s="301">
        <v>0.246448087431694</v>
      </c>
      <c r="T679" s="14">
        <v>236.363632</v>
      </c>
      <c r="U679" s="301">
        <v>-0.20877192982456141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1823</v>
      </c>
      <c r="B680" s="2">
        <v>33</v>
      </c>
      <c r="C680" s="301">
        <v>1.029641185647426E-2</v>
      </c>
      <c r="D680" s="2">
        <v>15.151515151515101</v>
      </c>
      <c r="E680" s="2">
        <v>66</v>
      </c>
      <c r="F680" s="301">
        <v>2.7284001653575859E-2</v>
      </c>
      <c r="G680" s="14">
        <v>34.545454545454497</v>
      </c>
      <c r="H680" s="2">
        <v>162</v>
      </c>
      <c r="I680" s="301">
        <v>6.1855670103092786E-2</v>
      </c>
      <c r="J680" s="14">
        <v>65.454544100000007</v>
      </c>
      <c r="K680" s="301">
        <v>3.9090909090909092</v>
      </c>
      <c r="L680" s="2">
        <v>575</v>
      </c>
      <c r="M680" s="301">
        <v>3.5065251859982924E-2</v>
      </c>
      <c r="N680" s="2">
        <v>115.757575757575</v>
      </c>
      <c r="O680" s="2">
        <v>663</v>
      </c>
      <c r="P680" s="301">
        <v>4.5218933296958121E-2</v>
      </c>
      <c r="Q680" s="14">
        <v>111.515151515151</v>
      </c>
      <c r="R680" s="2">
        <v>595</v>
      </c>
      <c r="S680" s="301">
        <v>4.0642076502732237E-2</v>
      </c>
      <c r="T680" s="14">
        <v>96.363640000000004</v>
      </c>
      <c r="U680" s="301">
        <v>3.4782608695652174E-2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1824</v>
      </c>
      <c r="B681" s="2">
        <v>138</v>
      </c>
      <c r="C681" s="301">
        <v>4.3057722308892356E-2</v>
      </c>
      <c r="D681" s="2">
        <v>55.757575757575701</v>
      </c>
      <c r="E681" s="2">
        <v>90</v>
      </c>
      <c r="F681" s="301">
        <v>3.7205456800330716E-2</v>
      </c>
      <c r="G681" s="14">
        <v>40.606060606060602</v>
      </c>
      <c r="H681" s="2">
        <v>71</v>
      </c>
      <c r="I681" s="301">
        <v>2.7109583810614738E-2</v>
      </c>
      <c r="J681" s="14">
        <v>40.606059999999999</v>
      </c>
      <c r="K681" s="301">
        <v>-0.48550724637681159</v>
      </c>
      <c r="L681" s="2">
        <v>746</v>
      </c>
      <c r="M681" s="301">
        <v>4.5493352847908279E-2</v>
      </c>
      <c r="N681" s="2">
        <v>110.30303030303</v>
      </c>
      <c r="O681" s="2">
        <v>550</v>
      </c>
      <c r="P681" s="301">
        <v>3.7511935615877783E-2</v>
      </c>
      <c r="Q681" s="14">
        <v>92.727272727272705</v>
      </c>
      <c r="R681" s="2">
        <v>718</v>
      </c>
      <c r="S681" s="301">
        <v>4.9043715846994539E-2</v>
      </c>
      <c r="T681" s="14">
        <v>122.42424</v>
      </c>
      <c r="U681" s="301">
        <v>-3.7533512064343161E-2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1825</v>
      </c>
      <c r="B682" s="2">
        <v>632</v>
      </c>
      <c r="C682" s="301">
        <v>0.19719188767550702</v>
      </c>
      <c r="D682" s="2">
        <v>113.333333333333</v>
      </c>
      <c r="E682" s="2">
        <v>277</v>
      </c>
      <c r="F682" s="301">
        <v>0.11451012815212898</v>
      </c>
      <c r="G682" s="14">
        <v>76.969696969696898</v>
      </c>
      <c r="H682" s="2">
        <v>423</v>
      </c>
      <c r="I682" s="301">
        <v>0.16151202749140894</v>
      </c>
      <c r="J682" s="14">
        <v>116.969696</v>
      </c>
      <c r="K682" s="301">
        <v>-0.33069620253164556</v>
      </c>
      <c r="L682" s="2">
        <v>3239</v>
      </c>
      <c r="M682" s="301">
        <v>0.19752408830345164</v>
      </c>
      <c r="N682" s="2">
        <v>196.363636363636</v>
      </c>
      <c r="O682" s="2">
        <v>2149</v>
      </c>
      <c r="P682" s="301">
        <v>0.14656936297912973</v>
      </c>
      <c r="Q682" s="14">
        <v>178.78787878787799</v>
      </c>
      <c r="R682" s="2">
        <v>2295</v>
      </c>
      <c r="S682" s="301">
        <v>0.15676229508196721</v>
      </c>
      <c r="T682" s="14">
        <v>206.66667200000001</v>
      </c>
      <c r="U682" s="301">
        <v>-0.29144797777091697</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1826</v>
      </c>
      <c r="B683" s="2">
        <v>1404</v>
      </c>
      <c r="C683" s="301">
        <v>0.43806552262090481</v>
      </c>
      <c r="D683" s="2">
        <v>131.51515151515099</v>
      </c>
      <c r="E683" s="2">
        <v>1194</v>
      </c>
      <c r="F683" s="301">
        <v>0.49359239355105416</v>
      </c>
      <c r="G683" s="14">
        <v>129.69696969696901</v>
      </c>
      <c r="H683" s="2">
        <v>1070</v>
      </c>
      <c r="I683" s="301">
        <v>0.40855288277968688</v>
      </c>
      <c r="J683" s="14">
        <v>156.363632</v>
      </c>
      <c r="K683" s="301">
        <v>-0.2378917378917379</v>
      </c>
      <c r="L683" s="2">
        <v>8287</v>
      </c>
      <c r="M683" s="301">
        <v>0.50536650811074524</v>
      </c>
      <c r="N683" s="2">
        <v>254.54545454545399</v>
      </c>
      <c r="O683" s="2">
        <v>8141</v>
      </c>
      <c r="P683" s="301">
        <v>0.55524485063429274</v>
      </c>
      <c r="Q683" s="14">
        <v>255.15151515151501</v>
      </c>
      <c r="R683" s="2">
        <v>7886</v>
      </c>
      <c r="S683" s="301">
        <v>0.53866120218579239</v>
      </c>
      <c r="T683" s="14">
        <v>273.93939999999998</v>
      </c>
      <c r="U683" s="301">
        <v>-4.8389043079522145E-2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1769</v>
      </c>
      <c r="B684" s="2">
        <v>680</v>
      </c>
      <c r="C684" s="301">
        <v>0.21216848673946959</v>
      </c>
      <c r="D684" s="2">
        <v>104.24242424242399</v>
      </c>
      <c r="E684" s="2">
        <v>629</v>
      </c>
      <c r="F684" s="301">
        <v>0.2600248036378669</v>
      </c>
      <c r="G684" s="14">
        <v>90.909090909090907</v>
      </c>
      <c r="H684" s="2">
        <v>716</v>
      </c>
      <c r="I684" s="301">
        <v>0.27338678885070639</v>
      </c>
      <c r="J684" s="14">
        <v>126.666664</v>
      </c>
      <c r="K684" s="301">
        <v>5.2941176470588235E-2</v>
      </c>
      <c r="L684" s="2">
        <v>2419</v>
      </c>
      <c r="M684" s="301">
        <v>0.14751798999878035</v>
      </c>
      <c r="N684" s="2">
        <v>176.969696969696</v>
      </c>
      <c r="O684" s="2">
        <v>1878</v>
      </c>
      <c r="P684" s="301">
        <v>0.12808620924839723</v>
      </c>
      <c r="Q684" s="14">
        <v>161.21212121212099</v>
      </c>
      <c r="R684" s="2">
        <v>2314</v>
      </c>
      <c r="S684" s="301">
        <v>0.15806010928961747</v>
      </c>
      <c r="T684" s="14">
        <v>213.33332799999999</v>
      </c>
      <c r="U684" s="301">
        <v>-4.34063662670525E-2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1770</v>
      </c>
      <c r="B685" s="2">
        <v>205</v>
      </c>
      <c r="C685" s="301">
        <v>6.3962558502340089E-2</v>
      </c>
      <c r="D685" s="2">
        <v>53.3333333333333</v>
      </c>
      <c r="E685" s="2">
        <v>127</v>
      </c>
      <c r="F685" s="301">
        <v>5.2501033484911121E-2</v>
      </c>
      <c r="G685" s="2">
        <v>43.030303030303003</v>
      </c>
      <c r="H685" s="2">
        <v>211</v>
      </c>
      <c r="I685" s="301">
        <v>8.0565101183657881E-2</v>
      </c>
      <c r="J685" s="14">
        <v>68.484849999999994</v>
      </c>
      <c r="K685" s="301">
        <v>2.9268292682926831E-2</v>
      </c>
      <c r="L685" s="2">
        <v>822</v>
      </c>
      <c r="M685" s="301">
        <v>5.0128064398097326E-2</v>
      </c>
      <c r="N685" s="2">
        <v>107.272727272727</v>
      </c>
      <c r="O685" s="2">
        <v>493</v>
      </c>
      <c r="P685" s="301">
        <v>3.3624335015686811E-2</v>
      </c>
      <c r="Q685" s="2">
        <v>89.090909090909093</v>
      </c>
      <c r="R685" s="2">
        <v>820</v>
      </c>
      <c r="S685" s="301">
        <v>5.6010928961748634E-2</v>
      </c>
      <c r="T685" s="14">
        <v>143.636368</v>
      </c>
      <c r="U685" s="301">
        <v>-2.4330900243309003E-3</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1827</v>
      </c>
      <c r="B686" s="2">
        <v>137</v>
      </c>
      <c r="C686" s="301">
        <v>4.2745709828393139E-2</v>
      </c>
      <c r="D686" s="2">
        <v>44.2424242424242</v>
      </c>
      <c r="E686" s="2">
        <v>11</v>
      </c>
      <c r="F686" s="301">
        <v>4.5473336089293095E-3</v>
      </c>
      <c r="G686" s="14">
        <v>11.5151515151515</v>
      </c>
      <c r="H686" s="2">
        <v>136</v>
      </c>
      <c r="I686" s="301">
        <v>5.1928216876670485E-2</v>
      </c>
      <c r="J686" s="14">
        <v>66.060609999999997</v>
      </c>
      <c r="K686" s="301">
        <v>-7.2992700729927005E-3</v>
      </c>
      <c r="L686" s="2">
        <v>421</v>
      </c>
      <c r="M686" s="301">
        <v>2.5673862666178802E-2</v>
      </c>
      <c r="N686" s="2">
        <v>86.060606060606005</v>
      </c>
      <c r="O686" s="2">
        <v>226</v>
      </c>
      <c r="P686" s="301">
        <v>1.5413995362160687E-2</v>
      </c>
      <c r="Q686" s="14">
        <v>67.272727272727195</v>
      </c>
      <c r="R686" s="2">
        <v>392</v>
      </c>
      <c r="S686" s="301">
        <v>2.6775956284153007E-2</v>
      </c>
      <c r="T686" s="14">
        <v>94.545455899999993</v>
      </c>
      <c r="U686" s="301">
        <v>-6.8883610451306407E-2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1828</v>
      </c>
      <c r="B687" s="2">
        <v>0</v>
      </c>
      <c r="C687" s="301">
        <v>0</v>
      </c>
      <c r="D687" s="2">
        <v>80</v>
      </c>
      <c r="E687" s="2">
        <v>0</v>
      </c>
      <c r="F687" s="301">
        <v>0</v>
      </c>
      <c r="G687" s="14">
        <v>16.969696969696901</v>
      </c>
      <c r="H687" s="2">
        <v>0</v>
      </c>
      <c r="I687" s="301">
        <v>0</v>
      </c>
      <c r="J687" s="14">
        <v>18.787877999999999</v>
      </c>
      <c r="L687" s="2">
        <v>35</v>
      </c>
      <c r="M687" s="301">
        <v>2.1344066349554824E-3</v>
      </c>
      <c r="N687" s="2">
        <v>23.636363636363601</v>
      </c>
      <c r="O687" s="2">
        <v>50</v>
      </c>
      <c r="P687" s="301">
        <v>3.4101759650797983E-3</v>
      </c>
      <c r="Q687" s="14">
        <v>30.909090909090899</v>
      </c>
      <c r="R687" s="2">
        <v>20</v>
      </c>
      <c r="S687" s="301">
        <v>1.366120218579235E-3</v>
      </c>
      <c r="T687" s="14">
        <v>13.939394</v>
      </c>
      <c r="U687" s="301">
        <v>-0.42857142857142855</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1829</v>
      </c>
      <c r="B688" s="2">
        <v>0</v>
      </c>
      <c r="C688" s="301">
        <v>0</v>
      </c>
      <c r="D688" s="2">
        <v>80</v>
      </c>
      <c r="E688" s="2">
        <v>0</v>
      </c>
      <c r="F688" s="301">
        <v>0</v>
      </c>
      <c r="G688" s="14">
        <v>16.969696969696901</v>
      </c>
      <c r="H688" s="2">
        <v>19</v>
      </c>
      <c r="I688" s="301">
        <v>7.2546773577701409E-3</v>
      </c>
      <c r="J688" s="14">
        <v>17.575758</v>
      </c>
      <c r="L688" s="2">
        <v>24</v>
      </c>
      <c r="M688" s="301">
        <v>1.4635931211123307E-3</v>
      </c>
      <c r="N688" s="2">
        <v>14.545454545454501</v>
      </c>
      <c r="O688" s="2">
        <v>24</v>
      </c>
      <c r="P688" s="301">
        <v>1.6368844632383031E-3</v>
      </c>
      <c r="Q688" s="14">
        <v>16.363636363636299</v>
      </c>
      <c r="R688" s="2">
        <v>71</v>
      </c>
      <c r="S688" s="301">
        <v>4.849726775956284E-3</v>
      </c>
      <c r="T688" s="14">
        <v>32.727271999999999</v>
      </c>
      <c r="U688" s="301">
        <v>1.9583333333333333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1830</v>
      </c>
      <c r="B689" s="2">
        <v>137</v>
      </c>
      <c r="C689" s="301">
        <v>4.2745709828393139E-2</v>
      </c>
      <c r="D689" s="2">
        <v>44.2424242424242</v>
      </c>
      <c r="E689" s="2">
        <v>11</v>
      </c>
      <c r="F689" s="301">
        <v>4.5473336089293095E-3</v>
      </c>
      <c r="G689" s="14">
        <v>11.5151515151515</v>
      </c>
      <c r="H689" s="2">
        <v>117</v>
      </c>
      <c r="I689" s="301">
        <v>4.4673539518900345E-2</v>
      </c>
      <c r="J689" s="14">
        <v>62.4242439</v>
      </c>
      <c r="K689" s="301">
        <v>-0.145985401459854</v>
      </c>
      <c r="L689" s="2">
        <v>362</v>
      </c>
      <c r="M689" s="301">
        <v>2.2075862910110988E-2</v>
      </c>
      <c r="N689" s="2">
        <v>84.848484848484802</v>
      </c>
      <c r="O689" s="2">
        <v>152</v>
      </c>
      <c r="P689" s="301">
        <v>1.0366934933842586E-2</v>
      </c>
      <c r="Q689" s="14">
        <v>56.969696969696898</v>
      </c>
      <c r="R689" s="2">
        <v>301</v>
      </c>
      <c r="S689" s="301">
        <v>2.0560109289617486E-2</v>
      </c>
      <c r="T689" s="14">
        <v>87.878784199999998</v>
      </c>
      <c r="U689" s="301">
        <v>-0.16850828729281769</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1831</v>
      </c>
      <c r="B690" s="2">
        <v>68</v>
      </c>
      <c r="C690" s="301">
        <v>2.1216848673946957E-2</v>
      </c>
      <c r="D690" s="2">
        <v>35.757575757575701</v>
      </c>
      <c r="E690" s="2">
        <v>116</v>
      </c>
      <c r="F690" s="301">
        <v>4.795369987598181E-2</v>
      </c>
      <c r="G690" s="14">
        <v>41.818181818181799</v>
      </c>
      <c r="H690" s="2">
        <v>75</v>
      </c>
      <c r="I690" s="301">
        <v>2.8636884306987399E-2</v>
      </c>
      <c r="J690" s="14">
        <v>37.5757561</v>
      </c>
      <c r="K690" s="301">
        <v>0.10294117647058823</v>
      </c>
      <c r="L690" s="2">
        <v>401</v>
      </c>
      <c r="M690" s="301">
        <v>2.4454201731918528E-2</v>
      </c>
      <c r="N690" s="2">
        <v>80.606060606060595</v>
      </c>
      <c r="O690" s="2">
        <v>267</v>
      </c>
      <c r="P690" s="301">
        <v>1.8210339653526121E-2</v>
      </c>
      <c r="Q690" s="14">
        <v>57.5757575757575</v>
      </c>
      <c r="R690" s="2">
        <v>428</v>
      </c>
      <c r="S690" s="301">
        <v>2.9234972677595627E-2</v>
      </c>
      <c r="T690" s="14">
        <v>105.454544</v>
      </c>
      <c r="U690" s="301">
        <v>6.7331670822942641E-2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1771</v>
      </c>
      <c r="B691" s="2">
        <v>475</v>
      </c>
      <c r="C691" s="301">
        <v>0.1482059282371295</v>
      </c>
      <c r="D691" s="2">
        <v>91.515151515151501</v>
      </c>
      <c r="E691" s="2">
        <v>502</v>
      </c>
      <c r="F691" s="301">
        <v>0.20752377015295576</v>
      </c>
      <c r="G691" s="14">
        <v>81.212121212121204</v>
      </c>
      <c r="H691" s="2">
        <v>505</v>
      </c>
      <c r="I691" s="301">
        <v>0.19282168766704849</v>
      </c>
      <c r="J691" s="14">
        <v>118.181816</v>
      </c>
      <c r="K691" s="301">
        <v>6.3157894736842107E-2</v>
      </c>
      <c r="L691" s="2">
        <v>1597</v>
      </c>
      <c r="M691" s="301">
        <v>9.7389925600683006E-2</v>
      </c>
      <c r="N691" s="2">
        <v>153.939393939393</v>
      </c>
      <c r="O691" s="2">
        <v>1385</v>
      </c>
      <c r="P691" s="301">
        <v>9.4461874232710408E-2</v>
      </c>
      <c r="Q691" s="14">
        <v>142.42424242424201</v>
      </c>
      <c r="R691" s="2">
        <v>1494</v>
      </c>
      <c r="S691" s="301">
        <v>0.10204918032786885</v>
      </c>
      <c r="T691" s="14">
        <v>179.393936</v>
      </c>
      <c r="U691" s="301">
        <v>-6.4495929868503443E-2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1827</v>
      </c>
      <c r="B692" s="2">
        <v>307</v>
      </c>
      <c r="C692" s="301">
        <v>9.5787831513260535E-2</v>
      </c>
      <c r="D692" s="2">
        <v>80</v>
      </c>
      <c r="E692" s="2">
        <v>209</v>
      </c>
      <c r="F692" s="301">
        <v>8.6399338569656883E-2</v>
      </c>
      <c r="G692" s="14">
        <v>55.757575757575701</v>
      </c>
      <c r="H692" s="2">
        <v>245</v>
      </c>
      <c r="I692" s="301">
        <v>9.3547155402825502E-2</v>
      </c>
      <c r="J692" s="14">
        <v>92.121215800000002</v>
      </c>
      <c r="K692" s="301">
        <v>-0.20195439739413681</v>
      </c>
      <c r="L692" s="2">
        <v>911</v>
      </c>
      <c r="M692" s="301">
        <v>5.5555555555555552E-2</v>
      </c>
      <c r="N692" s="2">
        <v>119.39393939393899</v>
      </c>
      <c r="O692" s="2">
        <v>608</v>
      </c>
      <c r="P692" s="301">
        <v>4.1467739735370344E-2</v>
      </c>
      <c r="Q692" s="14">
        <v>93.939393939393895</v>
      </c>
      <c r="R692" s="2">
        <v>637</v>
      </c>
      <c r="S692" s="301">
        <v>4.3510928961748636E-2</v>
      </c>
      <c r="T692" s="14">
        <v>147.878784</v>
      </c>
      <c r="U692" s="301">
        <v>-0.300768386388584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1828</v>
      </c>
      <c r="B693" s="2">
        <v>0</v>
      </c>
      <c r="C693" s="301">
        <v>0</v>
      </c>
      <c r="D693" s="2">
        <v>80</v>
      </c>
      <c r="E693" s="2">
        <v>7</v>
      </c>
      <c r="F693" s="301">
        <v>2.8937577511368336E-3</v>
      </c>
      <c r="G693" s="14">
        <v>7.8787878787878798</v>
      </c>
      <c r="H693" s="2">
        <v>0</v>
      </c>
      <c r="I693" s="301">
        <v>0</v>
      </c>
      <c r="J693" s="14">
        <v>18.787877999999999</v>
      </c>
      <c r="L693" s="2">
        <v>66</v>
      </c>
      <c r="M693" s="301">
        <v>4.0248810830589097E-3</v>
      </c>
      <c r="N693" s="2">
        <v>25.4545454545454</v>
      </c>
      <c r="O693" s="2">
        <v>59</v>
      </c>
      <c r="P693" s="301">
        <v>4.0240076387941621E-3</v>
      </c>
      <c r="Q693" s="14">
        <v>21.818181818181799</v>
      </c>
      <c r="R693" s="2">
        <v>68</v>
      </c>
      <c r="S693" s="301">
        <v>4.6448087431693987E-3</v>
      </c>
      <c r="T693" s="14">
        <v>39.393940000000001</v>
      </c>
      <c r="U693" s="301">
        <v>3.0303030303030304E-2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1829</v>
      </c>
      <c r="B694" s="2">
        <v>50</v>
      </c>
      <c r="C694" s="301">
        <v>1.5600624024960999E-2</v>
      </c>
      <c r="D694" s="2">
        <v>38.181818181818102</v>
      </c>
      <c r="E694" s="2">
        <v>15</v>
      </c>
      <c r="F694" s="301">
        <v>6.2009094667217855E-3</v>
      </c>
      <c r="G694" s="14">
        <v>13.3333333333333</v>
      </c>
      <c r="H694" s="2">
        <v>81</v>
      </c>
      <c r="I694" s="301">
        <v>3.0927835051546393E-2</v>
      </c>
      <c r="J694" s="14">
        <v>58.787880000000001</v>
      </c>
      <c r="K694" s="301">
        <v>0.62</v>
      </c>
      <c r="L694" s="2">
        <v>165</v>
      </c>
      <c r="M694" s="301">
        <v>1.0062202707647273E-2</v>
      </c>
      <c r="N694" s="2">
        <v>61.818181818181799</v>
      </c>
      <c r="O694" s="2">
        <v>49</v>
      </c>
      <c r="P694" s="301">
        <v>3.341972445778202E-3</v>
      </c>
      <c r="Q694" s="14">
        <v>26.6666666666666</v>
      </c>
      <c r="R694" s="2">
        <v>104</v>
      </c>
      <c r="S694" s="301">
        <v>7.1038251366120223E-3</v>
      </c>
      <c r="T694" s="14">
        <v>66.060609999999997</v>
      </c>
      <c r="U694" s="301">
        <v>-0.36969696969696969</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1830</v>
      </c>
      <c r="B695" s="2">
        <v>257</v>
      </c>
      <c r="C695" s="301">
        <v>8.0187207488299536E-2</v>
      </c>
      <c r="D695" s="2">
        <v>73.3333333333333</v>
      </c>
      <c r="E695" s="2">
        <v>187</v>
      </c>
      <c r="F695" s="301">
        <v>7.7304671351798263E-2</v>
      </c>
      <c r="G695" s="14">
        <v>53.3333333333333</v>
      </c>
      <c r="H695" s="2">
        <v>164</v>
      </c>
      <c r="I695" s="301">
        <v>6.2619320351279109E-2</v>
      </c>
      <c r="J695" s="14">
        <v>78.787880000000001</v>
      </c>
      <c r="K695" s="301">
        <v>-0.36186770428015563</v>
      </c>
      <c r="L695" s="2">
        <v>680</v>
      </c>
      <c r="M695" s="301">
        <v>4.1468471764849371E-2</v>
      </c>
      <c r="N695" s="2">
        <v>109.69696969696901</v>
      </c>
      <c r="O695" s="2">
        <v>500</v>
      </c>
      <c r="P695" s="301">
        <v>3.410175965079798E-2</v>
      </c>
      <c r="Q695" s="14">
        <v>84.242424242424207</v>
      </c>
      <c r="R695" s="2">
        <v>465</v>
      </c>
      <c r="S695" s="301">
        <v>3.1762295081967214E-2</v>
      </c>
      <c r="T695" s="14">
        <v>125.454544</v>
      </c>
      <c r="U695" s="301">
        <v>-0.31617647058823528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1831</v>
      </c>
      <c r="B696" s="2">
        <v>168</v>
      </c>
      <c r="C696" s="301">
        <v>5.2418096723868955E-2</v>
      </c>
      <c r="D696" s="2">
        <v>42.424242424242401</v>
      </c>
      <c r="E696" s="2">
        <v>293</v>
      </c>
      <c r="F696" s="301">
        <v>0.12112443158329889</v>
      </c>
      <c r="G696" s="14">
        <v>60</v>
      </c>
      <c r="H696" s="2">
        <v>260</v>
      </c>
      <c r="I696" s="301">
        <v>9.9274532264222989E-2</v>
      </c>
      <c r="J696" s="14">
        <v>82.424239999999998</v>
      </c>
      <c r="K696" s="301">
        <v>0.54761904761904767</v>
      </c>
      <c r="L696" s="2">
        <v>686</v>
      </c>
      <c r="M696" s="301">
        <v>4.1834370045127453E-2</v>
      </c>
      <c r="N696" s="2">
        <v>86.060606060606005</v>
      </c>
      <c r="O696" s="2">
        <v>777</v>
      </c>
      <c r="P696" s="301">
        <v>5.2994134497340063E-2</v>
      </c>
      <c r="Q696" s="14">
        <v>109.09090909090899</v>
      </c>
      <c r="R696" s="2">
        <v>857</v>
      </c>
      <c r="S696" s="301">
        <v>5.8538251366120217E-2</v>
      </c>
      <c r="T696" s="14">
        <v>140.606064</v>
      </c>
      <c r="U696" s="301">
        <v>0.24927113702623907</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1840</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1706</v>
      </c>
      <c r="C699" s="304"/>
      <c r="D699" s="304" t="s">
        <v>1707</v>
      </c>
      <c r="E699" s="304" t="s">
        <v>1706</v>
      </c>
      <c r="F699" s="304"/>
      <c r="G699" s="304" t="s">
        <v>1707</v>
      </c>
      <c r="H699" s="304" t="s">
        <v>1706</v>
      </c>
      <c r="I699" s="304"/>
      <c r="J699" s="304" t="s">
        <v>1707</v>
      </c>
      <c r="K699" t="s">
        <v>172</v>
      </c>
      <c r="L699" s="304" t="s">
        <v>1706</v>
      </c>
      <c r="M699" s="304"/>
      <c r="N699" s="304" t="s">
        <v>1707</v>
      </c>
      <c r="O699" s="304" t="s">
        <v>1706</v>
      </c>
      <c r="P699" s="304"/>
      <c r="Q699" s="304" t="s">
        <v>1707</v>
      </c>
      <c r="R699" s="304" t="s">
        <v>1706</v>
      </c>
      <c r="S699" s="304"/>
      <c r="T699" s="304" t="s">
        <v>1707</v>
      </c>
      <c r="U699" t="s">
        <v>172</v>
      </c>
      <c r="V699" s="207" t="s">
        <v>1706</v>
      </c>
      <c r="W699" s="207"/>
      <c r="X699" s="207" t="s">
        <v>1707</v>
      </c>
      <c r="Y699" s="207" t="s">
        <v>1706</v>
      </c>
      <c r="Z699" s="207"/>
      <c r="AA699" s="207" t="s">
        <v>1707</v>
      </c>
      <c r="AB699" s="207" t="s">
        <v>1706</v>
      </c>
      <c r="AC699" s="207"/>
      <c r="AD699" s="207" t="s">
        <v>1707</v>
      </c>
      <c r="AE699" t="s">
        <v>172</v>
      </c>
    </row>
    <row r="700" spans="1:31" x14ac:dyDescent="0.3">
      <c r="A700" t="s">
        <v>174</v>
      </c>
      <c r="B700" s="2">
        <v>8285</v>
      </c>
      <c r="C700" t="s">
        <v>172</v>
      </c>
      <c r="D700" s="2">
        <v>243.030303030303</v>
      </c>
      <c r="E700" s="2">
        <v>9881</v>
      </c>
      <c r="F700" t="s">
        <v>172</v>
      </c>
      <c r="G700" s="14">
        <v>274.54545454545399</v>
      </c>
      <c r="H700" s="2">
        <v>10348</v>
      </c>
      <c r="I700" t="s">
        <v>172</v>
      </c>
      <c r="J700" s="14">
        <v>279.39395100000002</v>
      </c>
      <c r="K700" s="301">
        <v>0.24900422450211226</v>
      </c>
      <c r="L700" s="2">
        <v>13858</v>
      </c>
      <c r="M700" t="s">
        <v>172</v>
      </c>
      <c r="N700" s="2">
        <v>311.51515151515099</v>
      </c>
      <c r="O700" s="2">
        <v>16304</v>
      </c>
      <c r="P700" t="s">
        <v>172</v>
      </c>
      <c r="Q700" s="14">
        <v>357.575757575757</v>
      </c>
      <c r="R700" s="2">
        <v>17823</v>
      </c>
      <c r="S700" t="s">
        <v>172</v>
      </c>
      <c r="T700" s="14">
        <v>278.18182400000001</v>
      </c>
      <c r="U700" s="301">
        <v>0.28611632270168857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1804</v>
      </c>
      <c r="B701" s="2">
        <v>2166</v>
      </c>
      <c r="C701" s="301">
        <v>0.26143633071816536</v>
      </c>
      <c r="D701" s="2">
        <v>158.18181818181799</v>
      </c>
      <c r="E701" s="2">
        <v>2989</v>
      </c>
      <c r="F701" s="301">
        <v>0.30249974698917115</v>
      </c>
      <c r="G701" s="14">
        <v>247.87878787878699</v>
      </c>
      <c r="H701" s="2">
        <v>2558</v>
      </c>
      <c r="I701" s="301">
        <v>0.24719752609199847</v>
      </c>
      <c r="J701" s="14">
        <v>232.72728000000001</v>
      </c>
      <c r="K701" s="301">
        <v>0.18097876269621421</v>
      </c>
      <c r="L701" s="2">
        <v>3267</v>
      </c>
      <c r="M701" s="301">
        <v>0.23574830422860441</v>
      </c>
      <c r="N701" s="2">
        <v>205.45454545454501</v>
      </c>
      <c r="O701" s="2">
        <v>4694</v>
      </c>
      <c r="P701" s="301">
        <v>0.28790480863591755</v>
      </c>
      <c r="Q701" s="14">
        <v>319.39393939393898</v>
      </c>
      <c r="R701" s="2">
        <v>3693</v>
      </c>
      <c r="S701" s="301">
        <v>0.20720417438141728</v>
      </c>
      <c r="T701" s="14">
        <v>284.84848</v>
      </c>
      <c r="U701" s="301">
        <v>0.13039485766758493</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1768</v>
      </c>
      <c r="B702" s="2">
        <v>1091</v>
      </c>
      <c r="C702" s="301">
        <v>0.13168376584188293</v>
      </c>
      <c r="D702" s="2">
        <v>119.39393939393899</v>
      </c>
      <c r="E702" s="2">
        <v>1152</v>
      </c>
      <c r="F702" s="301">
        <v>0.11658738994028944</v>
      </c>
      <c r="G702" s="14">
        <v>146.06060606060601</v>
      </c>
      <c r="H702" s="2">
        <v>1317</v>
      </c>
      <c r="I702" s="301">
        <v>0.12727097023579437</v>
      </c>
      <c r="J702" s="14">
        <v>177.57576</v>
      </c>
      <c r="K702" s="301">
        <v>0.20714940421631531</v>
      </c>
      <c r="L702" s="2">
        <v>1638</v>
      </c>
      <c r="M702" s="301">
        <v>0.11819887429643527</v>
      </c>
      <c r="N702" s="2">
        <v>146.666666666666</v>
      </c>
      <c r="O702" s="2">
        <v>1924</v>
      </c>
      <c r="P702" s="301">
        <v>0.11800785083415113</v>
      </c>
      <c r="Q702" s="14">
        <v>197.575757575757</v>
      </c>
      <c r="R702" s="2">
        <v>1937</v>
      </c>
      <c r="S702" s="301">
        <v>0.10867979576951131</v>
      </c>
      <c r="T702" s="14">
        <v>220.606064</v>
      </c>
      <c r="U702" s="301">
        <v>0.18253968253968253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1822</v>
      </c>
      <c r="B703" s="2">
        <v>976</v>
      </c>
      <c r="C703" s="301">
        <v>0.11780325890162945</v>
      </c>
      <c r="D703" s="2">
        <v>119.39393939393899</v>
      </c>
      <c r="E703" s="2">
        <v>956</v>
      </c>
      <c r="F703" s="301">
        <v>9.6751340957392976E-2</v>
      </c>
      <c r="G703" s="14">
        <v>130.90909090909</v>
      </c>
      <c r="H703" s="2">
        <v>1116</v>
      </c>
      <c r="I703" s="301">
        <v>0.10784692694240433</v>
      </c>
      <c r="J703" s="14">
        <v>173.33332799999999</v>
      </c>
      <c r="K703" s="301">
        <v>0.14344262295081966</v>
      </c>
      <c r="L703" s="2">
        <v>1450</v>
      </c>
      <c r="M703" s="301">
        <v>0.10463270313176505</v>
      </c>
      <c r="N703" s="2">
        <v>144.24242424242399</v>
      </c>
      <c r="O703" s="2">
        <v>1548</v>
      </c>
      <c r="P703" s="301">
        <v>9.4946025515210988E-2</v>
      </c>
      <c r="Q703" s="14">
        <v>168.48484848484799</v>
      </c>
      <c r="R703" s="2">
        <v>1638</v>
      </c>
      <c r="S703" s="301">
        <v>9.1903719912472648E-2</v>
      </c>
      <c r="T703" s="14">
        <v>222.42424</v>
      </c>
      <c r="U703" s="301">
        <v>0.1296551724137931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1823</v>
      </c>
      <c r="B704" s="2">
        <v>119</v>
      </c>
      <c r="C704" s="301">
        <v>1.436330718165359E-2</v>
      </c>
      <c r="D704" s="2">
        <v>42.424242424242401</v>
      </c>
      <c r="E704" s="2">
        <v>109</v>
      </c>
      <c r="F704" s="301">
        <v>1.1031272138447526E-2</v>
      </c>
      <c r="G704" s="14">
        <v>41.212121212121197</v>
      </c>
      <c r="H704" s="2">
        <v>7</v>
      </c>
      <c r="I704" s="301">
        <v>6.7645921917278704E-4</v>
      </c>
      <c r="J704" s="14">
        <v>10.30303</v>
      </c>
      <c r="K704" s="301">
        <v>-0.94117647058823528</v>
      </c>
      <c r="L704" s="2">
        <v>137</v>
      </c>
      <c r="M704" s="301">
        <v>9.8859864338288351E-3</v>
      </c>
      <c r="N704" s="2">
        <v>44.2424242424242</v>
      </c>
      <c r="O704" s="2">
        <v>170</v>
      </c>
      <c r="P704" s="301">
        <v>1.0426889106967615E-2</v>
      </c>
      <c r="Q704" s="14">
        <v>50.909090909090899</v>
      </c>
      <c r="R704" s="2">
        <v>58</v>
      </c>
      <c r="S704" s="301">
        <v>3.2542220726028167E-3</v>
      </c>
      <c r="T704" s="14">
        <v>30.909089999999999</v>
      </c>
      <c r="U704" s="301">
        <v>-0.57664233576642332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1824</v>
      </c>
      <c r="B705" s="2">
        <v>485</v>
      </c>
      <c r="C705" s="301">
        <v>5.8539529269764634E-2</v>
      </c>
      <c r="D705" s="2">
        <v>90.909090909090907</v>
      </c>
      <c r="E705" s="2">
        <v>395</v>
      </c>
      <c r="F705" s="301">
        <v>3.9975710960429109E-2</v>
      </c>
      <c r="G705" s="14">
        <v>80.606060606060595</v>
      </c>
      <c r="H705" s="2">
        <v>687</v>
      </c>
      <c r="I705" s="301">
        <v>6.6389640510243528E-2</v>
      </c>
      <c r="J705" s="14">
        <v>136.363632</v>
      </c>
      <c r="K705" s="301">
        <v>0.41649484536082476</v>
      </c>
      <c r="L705" s="2">
        <v>698</v>
      </c>
      <c r="M705" s="301">
        <v>5.0368018473084142E-2</v>
      </c>
      <c r="N705" s="2">
        <v>111.515151515151</v>
      </c>
      <c r="O705" s="2">
        <v>667</v>
      </c>
      <c r="P705" s="301">
        <v>4.0910206084396467E-2</v>
      </c>
      <c r="Q705" s="14">
        <v>115.151515151515</v>
      </c>
      <c r="R705" s="2">
        <v>988</v>
      </c>
      <c r="S705" s="301">
        <v>5.5433989788475566E-2</v>
      </c>
      <c r="T705" s="14">
        <v>167.878784</v>
      </c>
      <c r="U705" s="301">
        <v>0.41547277936962751</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1825</v>
      </c>
      <c r="B706" s="2">
        <v>372</v>
      </c>
      <c r="C706" s="301">
        <v>4.4900422450211225E-2</v>
      </c>
      <c r="D706" s="2">
        <v>80</v>
      </c>
      <c r="E706" s="2">
        <v>452</v>
      </c>
      <c r="F706" s="301">
        <v>4.5744357858516348E-2</v>
      </c>
      <c r="G706" s="14">
        <v>91.515151515151501</v>
      </c>
      <c r="H706" s="2">
        <v>422</v>
      </c>
      <c r="I706" s="301">
        <v>4.0780827212988015E-2</v>
      </c>
      <c r="J706" s="14">
        <v>106.666664</v>
      </c>
      <c r="K706" s="301">
        <v>0.13440860215053763</v>
      </c>
      <c r="L706" s="2">
        <v>615</v>
      </c>
      <c r="M706" s="301">
        <v>4.4378698224852069E-2</v>
      </c>
      <c r="N706" s="2">
        <v>108.484848484848</v>
      </c>
      <c r="O706" s="2">
        <v>711</v>
      </c>
      <c r="P706" s="301">
        <v>4.3608930323846912E-2</v>
      </c>
      <c r="Q706" s="14">
        <v>115.151515151515</v>
      </c>
      <c r="R706" s="2">
        <v>592</v>
      </c>
      <c r="S706" s="301">
        <v>3.3215508051394269E-2</v>
      </c>
      <c r="T706" s="14">
        <v>113.939392</v>
      </c>
      <c r="U706" s="301">
        <v>-3.7398373983739838E-2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1826</v>
      </c>
      <c r="B707" s="2">
        <v>115</v>
      </c>
      <c r="C707" s="301">
        <v>1.388050694025347E-2</v>
      </c>
      <c r="D707" s="2">
        <v>43.030303030303003</v>
      </c>
      <c r="E707" s="2">
        <v>196</v>
      </c>
      <c r="F707" s="301">
        <v>1.9836048982896468E-2</v>
      </c>
      <c r="G707" s="14">
        <v>61.212121212121197</v>
      </c>
      <c r="H707" s="2">
        <v>201</v>
      </c>
      <c r="I707" s="301">
        <v>1.9424043293390026E-2</v>
      </c>
      <c r="J707" s="14">
        <v>60.606059999999999</v>
      </c>
      <c r="K707" s="301">
        <v>0.74782608695652175</v>
      </c>
      <c r="L707" s="2">
        <v>188</v>
      </c>
      <c r="M707" s="301">
        <v>1.3566171164670227E-2</v>
      </c>
      <c r="N707" s="2">
        <v>53.939393939393902</v>
      </c>
      <c r="O707" s="2">
        <v>376</v>
      </c>
      <c r="P707" s="301">
        <v>2.3061825318940136E-2</v>
      </c>
      <c r="Q707" s="14">
        <v>89.696969696969703</v>
      </c>
      <c r="R707" s="2">
        <v>299</v>
      </c>
      <c r="S707" s="301">
        <v>1.6776075857038657E-2</v>
      </c>
      <c r="T707" s="14">
        <v>68.484849999999994</v>
      </c>
      <c r="U707" s="301">
        <v>0.59042553191489366</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1769</v>
      </c>
      <c r="B708" s="2">
        <v>1075</v>
      </c>
      <c r="C708" s="301">
        <v>0.12975256487628245</v>
      </c>
      <c r="D708" s="2">
        <v>111.515151515151</v>
      </c>
      <c r="E708" s="2">
        <v>1837</v>
      </c>
      <c r="F708" s="301">
        <v>0.1859123570488817</v>
      </c>
      <c r="G708" s="14">
        <v>183.030303030303</v>
      </c>
      <c r="H708" s="2">
        <v>1241</v>
      </c>
      <c r="I708" s="301">
        <v>0.1199265558562041</v>
      </c>
      <c r="J708" s="14">
        <v>167.27271999999999</v>
      </c>
      <c r="K708" s="301">
        <v>0.15441860465116278</v>
      </c>
      <c r="L708" s="2">
        <v>1629</v>
      </c>
      <c r="M708" s="301">
        <v>0.11754942993216914</v>
      </c>
      <c r="N708" s="2">
        <v>160</v>
      </c>
      <c r="O708" s="2">
        <v>2770</v>
      </c>
      <c r="P708" s="301">
        <v>0.16989695780176645</v>
      </c>
      <c r="Q708" s="14">
        <v>241.21212121212099</v>
      </c>
      <c r="R708" s="2">
        <v>1756</v>
      </c>
      <c r="S708" s="301">
        <v>9.8524378611905966E-2</v>
      </c>
      <c r="T708" s="14">
        <v>199.393936</v>
      </c>
      <c r="U708" s="301">
        <v>7.7961939840392874E-2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1770</v>
      </c>
      <c r="B709" s="2">
        <v>53</v>
      </c>
      <c r="C709" s="301">
        <v>6.3971031985515991E-3</v>
      </c>
      <c r="D709" s="2">
        <v>31.515151515151501</v>
      </c>
      <c r="E709" s="2">
        <v>337</v>
      </c>
      <c r="F709" s="301">
        <v>3.4105859730796481E-2</v>
      </c>
      <c r="G709" s="14">
        <v>89.696969696969703</v>
      </c>
      <c r="H709" s="2">
        <v>313</v>
      </c>
      <c r="I709" s="301">
        <v>3.0247390800154619E-2</v>
      </c>
      <c r="J709" s="14">
        <v>93.333335899999994</v>
      </c>
      <c r="K709" s="301">
        <v>4.9056603773584904</v>
      </c>
      <c r="L709" s="2">
        <v>162</v>
      </c>
      <c r="M709" s="301">
        <v>1.1689998556790301E-2</v>
      </c>
      <c r="N709" s="2">
        <v>57.5757575757575</v>
      </c>
      <c r="O709" s="2">
        <v>599</v>
      </c>
      <c r="P709" s="301">
        <v>3.6739450441609423E-2</v>
      </c>
      <c r="Q709" s="14">
        <v>116.363636363636</v>
      </c>
      <c r="R709" s="2">
        <v>424</v>
      </c>
      <c r="S709" s="301">
        <v>2.3789485496268865E-2</v>
      </c>
      <c r="T709" s="14">
        <v>105.454544</v>
      </c>
      <c r="U709" s="301">
        <v>1.617283950617284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1827</v>
      </c>
      <c r="B710" s="2">
        <v>36</v>
      </c>
      <c r="C710" s="301">
        <v>4.3452021726010865E-3</v>
      </c>
      <c r="D710" s="2">
        <v>26.6666666666666</v>
      </c>
      <c r="E710" s="2">
        <v>298</v>
      </c>
      <c r="F710" s="301">
        <v>3.0158890800526264E-2</v>
      </c>
      <c r="G710" s="14">
        <v>86.060606060606005</v>
      </c>
      <c r="H710" s="2">
        <v>306</v>
      </c>
      <c r="I710" s="301">
        <v>2.9570931580981834E-2</v>
      </c>
      <c r="J710" s="14">
        <v>93.333335899999994</v>
      </c>
      <c r="K710" s="301">
        <v>7.5</v>
      </c>
      <c r="L710" s="2">
        <v>145</v>
      </c>
      <c r="M710" s="301">
        <v>1.0463270313176504E-2</v>
      </c>
      <c r="N710" s="2">
        <v>53.939393939393902</v>
      </c>
      <c r="O710" s="2">
        <v>528</v>
      </c>
      <c r="P710" s="301">
        <v>3.23846908734053E-2</v>
      </c>
      <c r="Q710" s="14">
        <v>115.757575757575</v>
      </c>
      <c r="R710" s="2">
        <v>397</v>
      </c>
      <c r="S710" s="301">
        <v>2.2274589014195142E-2</v>
      </c>
      <c r="T710" s="14">
        <v>105.454544</v>
      </c>
      <c r="U710" s="301">
        <v>1.7379310344827585</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1828</v>
      </c>
      <c r="B711" s="2">
        <v>12</v>
      </c>
      <c r="C711" s="301">
        <v>1.4484007242003621E-3</v>
      </c>
      <c r="D711" s="2">
        <v>11.5151515151515</v>
      </c>
      <c r="E711" s="2">
        <v>34</v>
      </c>
      <c r="F711" s="301">
        <v>3.4409472725432651E-3</v>
      </c>
      <c r="G711" s="14">
        <v>18.181818181818102</v>
      </c>
      <c r="H711" s="2">
        <v>41</v>
      </c>
      <c r="I711" s="301">
        <v>3.9621182837263243E-3</v>
      </c>
      <c r="J711" s="14">
        <v>29.090910000000001</v>
      </c>
      <c r="K711" s="301">
        <v>2.4166666666666665</v>
      </c>
      <c r="L711" s="2">
        <v>12</v>
      </c>
      <c r="M711" s="301">
        <v>8.6592581902150386E-4</v>
      </c>
      <c r="N711" s="2">
        <v>11.5151515151515</v>
      </c>
      <c r="O711" s="2">
        <v>82</v>
      </c>
      <c r="P711" s="301">
        <v>5.0294406280667319E-3</v>
      </c>
      <c r="Q711" s="14">
        <v>49.090909090909101</v>
      </c>
      <c r="R711" s="2">
        <v>64</v>
      </c>
      <c r="S711" s="301">
        <v>3.5908657352858664E-3</v>
      </c>
      <c r="T711" s="14">
        <v>35.757576</v>
      </c>
      <c r="U711" s="301">
        <v>4.333333333333333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1829</v>
      </c>
      <c r="B712" s="2">
        <v>0</v>
      </c>
      <c r="C712" s="301">
        <v>0</v>
      </c>
      <c r="D712" s="2">
        <v>80</v>
      </c>
      <c r="E712" s="2">
        <v>113</v>
      </c>
      <c r="F712" s="301">
        <v>1.1436089464629087E-2</v>
      </c>
      <c r="G712" s="14">
        <v>53.939393939393902</v>
      </c>
      <c r="H712" s="2">
        <v>111</v>
      </c>
      <c r="I712" s="301">
        <v>1.0726710475454194E-2</v>
      </c>
      <c r="J712" s="14">
        <v>58.787880000000001</v>
      </c>
      <c r="L712" s="2">
        <v>25</v>
      </c>
      <c r="M712" s="301">
        <v>1.8040121229614663E-3</v>
      </c>
      <c r="N712" s="2">
        <v>18.181818181818102</v>
      </c>
      <c r="O712" s="2">
        <v>113</v>
      </c>
      <c r="P712" s="301">
        <v>6.9308145240431799E-3</v>
      </c>
      <c r="Q712" s="14">
        <v>53.939393939393902</v>
      </c>
      <c r="R712" s="2">
        <v>122</v>
      </c>
      <c r="S712" s="301">
        <v>6.8450878078886827E-3</v>
      </c>
      <c r="T712" s="14">
        <v>60</v>
      </c>
      <c r="U712" s="301">
        <v>3.88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1830</v>
      </c>
      <c r="B713" s="2">
        <v>24</v>
      </c>
      <c r="C713" s="301">
        <v>2.8968014484007242E-3</v>
      </c>
      <c r="D713" s="2">
        <v>23.030303030302999</v>
      </c>
      <c r="E713" s="2">
        <v>151</v>
      </c>
      <c r="F713" s="301">
        <v>1.5281854063353912E-2</v>
      </c>
      <c r="G713" s="14">
        <v>60.606060606060602</v>
      </c>
      <c r="H713" s="2">
        <v>154</v>
      </c>
      <c r="I713" s="301">
        <v>1.4882102821801314E-2</v>
      </c>
      <c r="J713" s="14">
        <v>65.454544100000007</v>
      </c>
      <c r="K713" s="301">
        <v>5.416666666666667</v>
      </c>
      <c r="L713" s="2">
        <v>108</v>
      </c>
      <c r="M713" s="301">
        <v>7.7933323711935343E-3</v>
      </c>
      <c r="N713" s="2">
        <v>50.909090909090899</v>
      </c>
      <c r="O713" s="2">
        <v>333</v>
      </c>
      <c r="P713" s="301">
        <v>2.0424435721295389E-2</v>
      </c>
      <c r="Q713" s="14">
        <v>86.6666666666666</v>
      </c>
      <c r="R713" s="2">
        <v>211</v>
      </c>
      <c r="S713" s="301">
        <v>1.1838635471020591E-2</v>
      </c>
      <c r="T713" s="14">
        <v>75.757576</v>
      </c>
      <c r="U713" s="301">
        <v>0.95370370370370372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1831</v>
      </c>
      <c r="B714" s="2">
        <v>17</v>
      </c>
      <c r="C714" s="301">
        <v>2.0519010259505131E-3</v>
      </c>
      <c r="D714" s="2">
        <v>15.757575757575699</v>
      </c>
      <c r="E714" s="2">
        <v>39</v>
      </c>
      <c r="F714" s="301">
        <v>3.9469689302702154E-3</v>
      </c>
      <c r="G714" s="14">
        <v>27.878787878787801</v>
      </c>
      <c r="H714" s="2">
        <v>7</v>
      </c>
      <c r="I714" s="301">
        <v>6.7645921917278704E-4</v>
      </c>
      <c r="J714" s="14">
        <v>6.0606059999999999</v>
      </c>
      <c r="K714" s="301">
        <v>-0.58823529411764708</v>
      </c>
      <c r="L714" s="2">
        <v>17</v>
      </c>
      <c r="M714" s="301">
        <v>1.2267282436137972E-3</v>
      </c>
      <c r="N714" s="2">
        <v>15.757575757575699</v>
      </c>
      <c r="O714" s="2">
        <v>71</v>
      </c>
      <c r="P714" s="301">
        <v>4.3547595682041215E-3</v>
      </c>
      <c r="Q714" s="14">
        <v>34.545454545454497</v>
      </c>
      <c r="R714" s="2">
        <v>27</v>
      </c>
      <c r="S714" s="301">
        <v>1.5148964820737249E-3</v>
      </c>
      <c r="T714" s="14">
        <v>18.181818</v>
      </c>
      <c r="U714" s="301">
        <v>0.58823529411764708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1771</v>
      </c>
      <c r="B715" s="2">
        <v>1022</v>
      </c>
      <c r="C715" s="301">
        <v>0.12335546167773084</v>
      </c>
      <c r="D715" s="2">
        <v>106.666666666666</v>
      </c>
      <c r="E715" s="2">
        <v>1500</v>
      </c>
      <c r="F715" s="301">
        <v>0.15180649731808521</v>
      </c>
      <c r="G715" s="14">
        <v>160</v>
      </c>
      <c r="H715" s="2">
        <v>928</v>
      </c>
      <c r="I715" s="301">
        <v>8.9679165056049476E-2</v>
      </c>
      <c r="J715" s="14">
        <v>146.060608</v>
      </c>
      <c r="K715" s="301">
        <v>-9.1976516634050876E-2</v>
      </c>
      <c r="L715" s="2">
        <v>1467</v>
      </c>
      <c r="M715" s="301">
        <v>0.10585943137537884</v>
      </c>
      <c r="N715" s="2">
        <v>138.78787878787799</v>
      </c>
      <c r="O715" s="2">
        <v>2171</v>
      </c>
      <c r="P715" s="301">
        <v>0.13315750736015702</v>
      </c>
      <c r="Q715" s="14">
        <v>213.939393939393</v>
      </c>
      <c r="R715" s="2">
        <v>1332</v>
      </c>
      <c r="S715" s="301">
        <v>7.4734893115637094E-2</v>
      </c>
      <c r="T715" s="14">
        <v>178.78787199999999</v>
      </c>
      <c r="U715" s="301">
        <v>-9.202453987730061E-2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1827</v>
      </c>
      <c r="B716" s="2">
        <v>937</v>
      </c>
      <c r="C716" s="301">
        <v>0.11309595654797827</v>
      </c>
      <c r="D716" s="2">
        <v>105.454545454545</v>
      </c>
      <c r="E716" s="2">
        <v>1422</v>
      </c>
      <c r="F716" s="301">
        <v>0.14391255945754478</v>
      </c>
      <c r="G716" s="14">
        <v>152.72727272727201</v>
      </c>
      <c r="H716" s="2">
        <v>845</v>
      </c>
      <c r="I716" s="301">
        <v>8.1658291457286439E-2</v>
      </c>
      <c r="J716" s="14">
        <v>147.27271999999999</v>
      </c>
      <c r="K716" s="301">
        <v>-9.818569903948772E-2</v>
      </c>
      <c r="L716" s="2">
        <v>1367</v>
      </c>
      <c r="M716" s="301">
        <v>9.8643382883532971E-2</v>
      </c>
      <c r="N716" s="2">
        <v>136.363636363636</v>
      </c>
      <c r="O716" s="2">
        <v>2073</v>
      </c>
      <c r="P716" s="301">
        <v>0.12714671246319922</v>
      </c>
      <c r="Q716" s="14">
        <v>206.666666666666</v>
      </c>
      <c r="R716" s="2">
        <v>1227</v>
      </c>
      <c r="S716" s="301">
        <v>6.8843629018683725E-2</v>
      </c>
      <c r="T716" s="14">
        <v>183.636368</v>
      </c>
      <c r="U716" s="301">
        <v>-0.10241404535479151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1828</v>
      </c>
      <c r="B717" s="2">
        <v>203</v>
      </c>
      <c r="C717" s="301">
        <v>2.4502112251056127E-2</v>
      </c>
      <c r="D717" s="2">
        <v>60.606060606060602</v>
      </c>
      <c r="E717" s="2">
        <v>219</v>
      </c>
      <c r="F717" s="301">
        <v>2.2163748608440441E-2</v>
      </c>
      <c r="G717" s="14">
        <v>66.060606060606005</v>
      </c>
      <c r="H717" s="2">
        <v>165</v>
      </c>
      <c r="I717" s="301">
        <v>1.5945110166215692E-2</v>
      </c>
      <c r="J717" s="14">
        <v>55.757576</v>
      </c>
      <c r="K717" s="301">
        <v>-0.18719211822660098</v>
      </c>
      <c r="L717" s="2">
        <v>348</v>
      </c>
      <c r="M717" s="301">
        <v>2.511184875162361E-2</v>
      </c>
      <c r="N717" s="2">
        <v>81.212121212121204</v>
      </c>
      <c r="O717" s="2">
        <v>353</v>
      </c>
      <c r="P717" s="301">
        <v>2.1651128557409225E-2</v>
      </c>
      <c r="Q717" s="14">
        <v>93.939393939393895</v>
      </c>
      <c r="R717" s="2">
        <v>265</v>
      </c>
      <c r="S717" s="301">
        <v>1.4868428435168042E-2</v>
      </c>
      <c r="T717" s="14">
        <v>75.151510000000002</v>
      </c>
      <c r="U717" s="301">
        <v>-0.23850574712643677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1829</v>
      </c>
      <c r="B718" s="2">
        <v>323</v>
      </c>
      <c r="C718" s="301">
        <v>3.8986119493059745E-2</v>
      </c>
      <c r="D718" s="2">
        <v>70.909090909090907</v>
      </c>
      <c r="E718" s="2">
        <v>589</v>
      </c>
      <c r="F718" s="301">
        <v>5.9609351280234792E-2</v>
      </c>
      <c r="G718" s="14">
        <v>106.06060606060601</v>
      </c>
      <c r="H718" s="2">
        <v>308</v>
      </c>
      <c r="I718" s="301">
        <v>2.9764205643602628E-2</v>
      </c>
      <c r="J718" s="14">
        <v>80</v>
      </c>
      <c r="K718" s="301">
        <v>-4.6439628482972138E-2</v>
      </c>
      <c r="L718" s="2">
        <v>473</v>
      </c>
      <c r="M718" s="301">
        <v>3.4131909366430943E-2</v>
      </c>
      <c r="N718" s="2">
        <v>92.727272727272705</v>
      </c>
      <c r="O718" s="2">
        <v>747</v>
      </c>
      <c r="P718" s="301">
        <v>4.5816977428851817E-2</v>
      </c>
      <c r="Q718" s="14">
        <v>115.151515151515</v>
      </c>
      <c r="R718" s="2">
        <v>432</v>
      </c>
      <c r="S718" s="301">
        <v>2.4238343713179598E-2</v>
      </c>
      <c r="T718" s="14">
        <v>102.42424</v>
      </c>
      <c r="U718" s="301">
        <v>-8.6680761099365747E-2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1830</v>
      </c>
      <c r="B719" s="2">
        <v>411</v>
      </c>
      <c r="C719" s="301">
        <v>4.9607724803862399E-2</v>
      </c>
      <c r="D719" s="2">
        <v>100.60606060606</v>
      </c>
      <c r="E719" s="2">
        <v>614</v>
      </c>
      <c r="F719" s="301">
        <v>6.213945956886955E-2</v>
      </c>
      <c r="G719" s="14">
        <v>104.84848484848401</v>
      </c>
      <c r="H719" s="2">
        <v>372</v>
      </c>
      <c r="I719" s="301">
        <v>3.5948975647468108E-2</v>
      </c>
      <c r="J719" s="14">
        <v>99.393936199999999</v>
      </c>
      <c r="K719" s="301">
        <v>-9.4890510948905105E-2</v>
      </c>
      <c r="L719" s="2">
        <v>546</v>
      </c>
      <c r="M719" s="301">
        <v>3.9399624765478425E-2</v>
      </c>
      <c r="N719" s="2">
        <v>121.818181818181</v>
      </c>
      <c r="O719" s="2">
        <v>973</v>
      </c>
      <c r="P719" s="301">
        <v>5.9678606476938172E-2</v>
      </c>
      <c r="Q719" s="14">
        <v>151.51515151515099</v>
      </c>
      <c r="R719" s="2">
        <v>530</v>
      </c>
      <c r="S719" s="301">
        <v>2.9736856870336083E-2</v>
      </c>
      <c r="T719" s="14">
        <v>116.36364</v>
      </c>
      <c r="U719" s="301">
        <v>-2.9304029304029304E-2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1831</v>
      </c>
      <c r="B720" s="2">
        <v>85</v>
      </c>
      <c r="C720" s="301">
        <v>1.0259505129752565E-2</v>
      </c>
      <c r="D720" s="2">
        <v>32.727272727272698</v>
      </c>
      <c r="E720" s="2">
        <v>78</v>
      </c>
      <c r="F720" s="301">
        <v>7.8939378605404308E-3</v>
      </c>
      <c r="G720" s="14">
        <v>36.363636363636303</v>
      </c>
      <c r="H720" s="2">
        <v>83</v>
      </c>
      <c r="I720" s="301">
        <v>8.0208735987630456E-3</v>
      </c>
      <c r="J720" s="14">
        <v>35.757576</v>
      </c>
      <c r="K720" s="301">
        <v>-2.3529411764705882E-2</v>
      </c>
      <c r="L720" s="2">
        <v>100</v>
      </c>
      <c r="M720" s="301">
        <v>7.2160484918458653E-3</v>
      </c>
      <c r="N720" s="2">
        <v>36.969696969696898</v>
      </c>
      <c r="O720" s="2">
        <v>98</v>
      </c>
      <c r="P720" s="301">
        <v>6.0107948969578022E-3</v>
      </c>
      <c r="Q720" s="14">
        <v>40.606060606060602</v>
      </c>
      <c r="R720" s="2">
        <v>105</v>
      </c>
      <c r="S720" s="301">
        <v>5.8912640969533752E-3</v>
      </c>
      <c r="T720" s="14">
        <v>41.212119999999999</v>
      </c>
      <c r="U720" s="301">
        <v>0.05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1820</v>
      </c>
      <c r="B721" s="2">
        <v>6119</v>
      </c>
      <c r="C721" s="301">
        <v>0.73856366928183459</v>
      </c>
      <c r="D721" s="2">
        <v>228.48484848484799</v>
      </c>
      <c r="E721" s="2">
        <v>6892</v>
      </c>
      <c r="F721" s="301">
        <v>0.69750025301082885</v>
      </c>
      <c r="G721" s="14">
        <v>298.18181818181802</v>
      </c>
      <c r="H721" s="2">
        <v>7790</v>
      </c>
      <c r="I721" s="301">
        <v>0.75280247390800159</v>
      </c>
      <c r="J721" s="14">
        <v>343.63635299999999</v>
      </c>
      <c r="K721" s="301">
        <v>0.27308383722830526</v>
      </c>
      <c r="L721" s="2">
        <v>10591</v>
      </c>
      <c r="M721" s="301">
        <v>0.76425169577139562</v>
      </c>
      <c r="N721" s="2">
        <v>300.60606060606</v>
      </c>
      <c r="O721" s="2">
        <v>11610</v>
      </c>
      <c r="P721" s="301">
        <v>0.71209519136408239</v>
      </c>
      <c r="Q721" s="14">
        <v>373.93939393939303</v>
      </c>
      <c r="R721" s="2">
        <v>14130</v>
      </c>
      <c r="S721" s="301">
        <v>0.79279582561858275</v>
      </c>
      <c r="T721" s="14">
        <v>358.78787199999999</v>
      </c>
      <c r="U721" s="301">
        <v>0.33415163818336324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1768</v>
      </c>
      <c r="B722" s="2">
        <v>4239</v>
      </c>
      <c r="C722" s="301">
        <v>0.51164755582377797</v>
      </c>
      <c r="D722" s="2">
        <v>232.72727272727201</v>
      </c>
      <c r="E722" s="2">
        <v>4792</v>
      </c>
      <c r="F722" s="301">
        <v>0.48497115676550956</v>
      </c>
      <c r="G722" s="14">
        <v>253.333333333333</v>
      </c>
      <c r="H722" s="2">
        <v>5653</v>
      </c>
      <c r="I722" s="301">
        <v>0.54628913799768075</v>
      </c>
      <c r="J722" s="14">
        <v>323.03030000000001</v>
      </c>
      <c r="K722" s="301">
        <v>0.33356923802783678</v>
      </c>
      <c r="L722" s="2">
        <v>7809</v>
      </c>
      <c r="M722" s="301">
        <v>0.56350122672824365</v>
      </c>
      <c r="N722" s="2">
        <v>307.27272727272702</v>
      </c>
      <c r="O722" s="2">
        <v>8519</v>
      </c>
      <c r="P722" s="301">
        <v>0.52250981354268888</v>
      </c>
      <c r="Q722" s="14">
        <v>341.81818181818102</v>
      </c>
      <c r="R722" s="2">
        <v>10602</v>
      </c>
      <c r="S722" s="301">
        <v>0.59484935196094935</v>
      </c>
      <c r="T722" s="14">
        <v>340</v>
      </c>
      <c r="U722" s="301">
        <v>0.35766423357664234</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1822</v>
      </c>
      <c r="B723" s="2">
        <v>3293</v>
      </c>
      <c r="C723" s="301">
        <v>0.39746529873264935</v>
      </c>
      <c r="D723" s="2">
        <v>214.54545454545399</v>
      </c>
      <c r="E723" s="2">
        <v>3322</v>
      </c>
      <c r="F723" s="301">
        <v>0.33620078939378606</v>
      </c>
      <c r="G723" s="14">
        <v>220</v>
      </c>
      <c r="H723" s="2">
        <v>3919</v>
      </c>
      <c r="I723" s="301">
        <v>0.37872052570545034</v>
      </c>
      <c r="J723" s="14">
        <v>286.66665599999999</v>
      </c>
      <c r="K723" s="301">
        <v>0.19010021257212267</v>
      </c>
      <c r="L723" s="2">
        <v>5723</v>
      </c>
      <c r="M723" s="301">
        <v>0.41297445518833886</v>
      </c>
      <c r="N723" s="2">
        <v>258.78787878787801</v>
      </c>
      <c r="O723" s="2">
        <v>5547</v>
      </c>
      <c r="P723" s="301">
        <v>0.34022325809617271</v>
      </c>
      <c r="Q723" s="14">
        <v>296.36363636363598</v>
      </c>
      <c r="R723" s="2">
        <v>6765</v>
      </c>
      <c r="S723" s="301">
        <v>0.37956572967513885</v>
      </c>
      <c r="T723" s="14">
        <v>319.39395100000002</v>
      </c>
      <c r="U723" s="301">
        <v>0.18207233968198497</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1823</v>
      </c>
      <c r="B724" s="2">
        <v>535</v>
      </c>
      <c r="C724" s="301">
        <v>6.4574532287266145E-2</v>
      </c>
      <c r="D724" s="2">
        <v>112.72727272727199</v>
      </c>
      <c r="E724" s="2">
        <v>433</v>
      </c>
      <c r="F724" s="301">
        <v>4.382147555915393E-2</v>
      </c>
      <c r="G724" s="14">
        <v>96.969696969696898</v>
      </c>
      <c r="H724" s="2">
        <v>414</v>
      </c>
      <c r="I724" s="301">
        <v>4.0007730962504831E-2</v>
      </c>
      <c r="J724" s="14">
        <v>91.515150000000006</v>
      </c>
      <c r="K724" s="301">
        <v>-0.22616822429906541</v>
      </c>
      <c r="L724" s="2">
        <v>840</v>
      </c>
      <c r="M724" s="301">
        <v>6.0614807331505267E-2</v>
      </c>
      <c r="N724" s="2">
        <v>125.454545454545</v>
      </c>
      <c r="O724" s="2">
        <v>614</v>
      </c>
      <c r="P724" s="301">
        <v>3.76594700686948E-2</v>
      </c>
      <c r="Q724" s="14">
        <v>112.72727272727199</v>
      </c>
      <c r="R724" s="2">
        <v>776</v>
      </c>
      <c r="S724" s="301">
        <v>4.3539247040341129E-2</v>
      </c>
      <c r="T724" s="14">
        <v>143.636368</v>
      </c>
      <c r="U724" s="301">
        <v>-7.6190476190476197E-2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1824</v>
      </c>
      <c r="B725" s="2">
        <v>874</v>
      </c>
      <c r="C725" s="301">
        <v>0.10549185274592637</v>
      </c>
      <c r="D725" s="2">
        <v>115.757575757575</v>
      </c>
      <c r="E725" s="2">
        <v>985</v>
      </c>
      <c r="F725" s="301">
        <v>9.9686266572209289E-2</v>
      </c>
      <c r="G725" s="14">
        <v>144.24242424242399</v>
      </c>
      <c r="H725" s="2">
        <v>1378</v>
      </c>
      <c r="I725" s="301">
        <v>0.13316582914572864</v>
      </c>
      <c r="J725" s="14">
        <v>226.66667200000001</v>
      </c>
      <c r="K725" s="301">
        <v>0.57665903890160186</v>
      </c>
      <c r="L725" s="2">
        <v>1569</v>
      </c>
      <c r="M725" s="301">
        <v>0.11321980083706162</v>
      </c>
      <c r="N725" s="2">
        <v>156.969696969696</v>
      </c>
      <c r="O725" s="2">
        <v>1559</v>
      </c>
      <c r="P725" s="301">
        <v>9.56207065750736E-2</v>
      </c>
      <c r="Q725" s="14">
        <v>172.72727272727201</v>
      </c>
      <c r="R725" s="2">
        <v>2319</v>
      </c>
      <c r="S725" s="301">
        <v>0.13011277562699883</v>
      </c>
      <c r="T725" s="14">
        <v>284.84848</v>
      </c>
      <c r="U725" s="301">
        <v>0.47801147227533458</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1825</v>
      </c>
      <c r="B726" s="2">
        <v>1884</v>
      </c>
      <c r="C726" s="301">
        <v>0.22739891369945686</v>
      </c>
      <c r="D726" s="2">
        <v>166.06060606060601</v>
      </c>
      <c r="E726" s="2">
        <v>1904</v>
      </c>
      <c r="F726" s="301">
        <v>0.19269304726242284</v>
      </c>
      <c r="G726" s="14">
        <v>176.363636363636</v>
      </c>
      <c r="H726" s="2">
        <v>2127</v>
      </c>
      <c r="I726" s="301">
        <v>0.20554696559721686</v>
      </c>
      <c r="J726" s="14">
        <v>264.84848</v>
      </c>
      <c r="K726" s="301">
        <v>0.12898089171974522</v>
      </c>
      <c r="L726" s="2">
        <v>3314</v>
      </c>
      <c r="M726" s="301">
        <v>0.23913984701977198</v>
      </c>
      <c r="N726" s="2">
        <v>189.09090909090901</v>
      </c>
      <c r="O726" s="2">
        <v>3374</v>
      </c>
      <c r="P726" s="301">
        <v>0.20694308145240431</v>
      </c>
      <c r="Q726" s="14">
        <v>238.18181818181799</v>
      </c>
      <c r="R726" s="2">
        <v>3670</v>
      </c>
      <c r="S726" s="301">
        <v>0.2059137070077989</v>
      </c>
      <c r="T726" s="14">
        <v>298.18182400000001</v>
      </c>
      <c r="U726" s="301">
        <v>0.10742305371152686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1826</v>
      </c>
      <c r="B727" s="2">
        <v>946</v>
      </c>
      <c r="C727" s="301">
        <v>0.11418225709112854</v>
      </c>
      <c r="D727" s="2">
        <v>126.666666666666</v>
      </c>
      <c r="E727" s="2">
        <v>1470</v>
      </c>
      <c r="F727" s="301">
        <v>0.1487703673717235</v>
      </c>
      <c r="G727" s="14">
        <v>146.06060606060601</v>
      </c>
      <c r="H727" s="2">
        <v>1734</v>
      </c>
      <c r="I727" s="301">
        <v>0.16756861229223038</v>
      </c>
      <c r="J727" s="14">
        <v>201.81817599999999</v>
      </c>
      <c r="K727" s="301">
        <v>0.83298097251585623</v>
      </c>
      <c r="L727" s="2">
        <v>2086</v>
      </c>
      <c r="M727" s="301">
        <v>0.15052677153990474</v>
      </c>
      <c r="N727" s="2">
        <v>178.18181818181799</v>
      </c>
      <c r="O727" s="2">
        <v>2972</v>
      </c>
      <c r="P727" s="301">
        <v>0.1822865554465162</v>
      </c>
      <c r="Q727" s="14">
        <v>196.969696969697</v>
      </c>
      <c r="R727" s="2">
        <v>3837</v>
      </c>
      <c r="S727" s="301">
        <v>0.21528362228581047</v>
      </c>
      <c r="T727" s="14">
        <v>278.18182400000001</v>
      </c>
      <c r="U727" s="301">
        <v>0.83940556088207097</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1769</v>
      </c>
      <c r="B728" s="2">
        <v>1880</v>
      </c>
      <c r="C728" s="301">
        <v>0.22691611345805673</v>
      </c>
      <c r="D728" s="2">
        <v>201.21212121212099</v>
      </c>
      <c r="E728" s="2">
        <v>2100</v>
      </c>
      <c r="F728" s="301">
        <v>0.21252909624531929</v>
      </c>
      <c r="G728" s="14">
        <v>194.54545454545399</v>
      </c>
      <c r="H728" s="2">
        <v>2137</v>
      </c>
      <c r="I728" s="301">
        <v>0.20651333591032084</v>
      </c>
      <c r="J728" s="14">
        <v>224.84848</v>
      </c>
      <c r="K728" s="301">
        <v>0.13670212765957446</v>
      </c>
      <c r="L728" s="2">
        <v>2782</v>
      </c>
      <c r="M728" s="301">
        <v>0.20075046904315197</v>
      </c>
      <c r="N728" s="2">
        <v>237.575757575757</v>
      </c>
      <c r="O728" s="2">
        <v>3091</v>
      </c>
      <c r="P728" s="301">
        <v>0.18958537782139354</v>
      </c>
      <c r="Q728" s="14">
        <v>236.363636363636</v>
      </c>
      <c r="R728" s="2">
        <v>3528</v>
      </c>
      <c r="S728" s="301">
        <v>0.1979464736576334</v>
      </c>
      <c r="T728" s="14">
        <v>292.72726399999999</v>
      </c>
      <c r="U728" s="301">
        <v>0.26815240833932424</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1770</v>
      </c>
      <c r="B729" s="2">
        <v>795</v>
      </c>
      <c r="C729" s="301">
        <v>9.5956547978273993E-2</v>
      </c>
      <c r="D729" s="2">
        <v>117.575757575757</v>
      </c>
      <c r="E729" s="2">
        <v>700</v>
      </c>
      <c r="F729" s="301">
        <v>7.0843032081773102E-2</v>
      </c>
      <c r="G729" s="14">
        <v>129.69696969696901</v>
      </c>
      <c r="H729" s="2">
        <v>739</v>
      </c>
      <c r="I729" s="301">
        <v>7.1414766138384225E-2</v>
      </c>
      <c r="J729" s="14">
        <v>126.060608</v>
      </c>
      <c r="K729" s="301">
        <v>-7.0440251572327042E-2</v>
      </c>
      <c r="L729" s="2">
        <v>1166</v>
      </c>
      <c r="M729" s="301">
        <v>8.4139125414922786E-2</v>
      </c>
      <c r="N729" s="2">
        <v>162.42424242424201</v>
      </c>
      <c r="O729" s="2">
        <v>1237</v>
      </c>
      <c r="P729" s="301">
        <v>7.5870951913640822E-2</v>
      </c>
      <c r="Q729" s="14">
        <v>160</v>
      </c>
      <c r="R729" s="2">
        <v>1339</v>
      </c>
      <c r="S729" s="301">
        <v>7.5127644055433984E-2</v>
      </c>
      <c r="T729" s="14">
        <v>167.878784</v>
      </c>
      <c r="U729" s="301">
        <v>0.14837049742710121</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1827</v>
      </c>
      <c r="B730" s="2">
        <v>438</v>
      </c>
      <c r="C730" s="301">
        <v>5.2866626433313219E-2</v>
      </c>
      <c r="D730" s="2">
        <v>93.939393939393895</v>
      </c>
      <c r="E730" s="2">
        <v>468</v>
      </c>
      <c r="F730" s="301">
        <v>4.7363627163242585E-2</v>
      </c>
      <c r="G730" s="14">
        <v>94.545454545454504</v>
      </c>
      <c r="H730" s="2">
        <v>464</v>
      </c>
      <c r="I730" s="301">
        <v>4.4839582528024738E-2</v>
      </c>
      <c r="J730" s="14">
        <v>117.57576</v>
      </c>
      <c r="K730" s="301">
        <v>5.9360730593607303E-2</v>
      </c>
      <c r="L730" s="2">
        <v>648</v>
      </c>
      <c r="M730" s="301">
        <v>4.6759994227161206E-2</v>
      </c>
      <c r="N730" s="2">
        <v>119.39393939393899</v>
      </c>
      <c r="O730" s="2">
        <v>686</v>
      </c>
      <c r="P730" s="301">
        <v>4.2075564278704611E-2</v>
      </c>
      <c r="Q730" s="14">
        <v>106.06060606060601</v>
      </c>
      <c r="R730" s="2">
        <v>902</v>
      </c>
      <c r="S730" s="301">
        <v>5.0608763956685184E-2</v>
      </c>
      <c r="T730" s="14">
        <v>147.27271999999999</v>
      </c>
      <c r="U730" s="301">
        <v>0.39197530864197533</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1828</v>
      </c>
      <c r="B731" s="2">
        <v>95</v>
      </c>
      <c r="C731" s="301">
        <v>1.1466505733252867E-2</v>
      </c>
      <c r="D731" s="2">
        <v>42.424242424242401</v>
      </c>
      <c r="E731" s="2">
        <v>37</v>
      </c>
      <c r="F731" s="301">
        <v>3.7445602671794353E-3</v>
      </c>
      <c r="G731" s="14">
        <v>21.2121212121212</v>
      </c>
      <c r="H731" s="2">
        <v>84</v>
      </c>
      <c r="I731" s="301">
        <v>8.1175106300734445E-3</v>
      </c>
      <c r="J731" s="14">
        <v>36.969695999999999</v>
      </c>
      <c r="K731" s="301">
        <v>-0.11578947368421053</v>
      </c>
      <c r="L731" s="2">
        <v>120</v>
      </c>
      <c r="M731" s="301">
        <v>8.6592581902150377E-3</v>
      </c>
      <c r="N731" s="2">
        <v>44.2424242424242</v>
      </c>
      <c r="O731" s="2">
        <v>72</v>
      </c>
      <c r="P731" s="301">
        <v>4.416094210009814E-3</v>
      </c>
      <c r="Q731" s="14">
        <v>29.696969696969699</v>
      </c>
      <c r="R731" s="2">
        <v>149</v>
      </c>
      <c r="S731" s="301">
        <v>8.3599842899624074E-3</v>
      </c>
      <c r="T731" s="14">
        <v>47.878788</v>
      </c>
      <c r="U731" s="301">
        <v>0.24166666666666667</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1829</v>
      </c>
      <c r="B732" s="2">
        <v>75</v>
      </c>
      <c r="C732" s="301">
        <v>9.0525045262522634E-3</v>
      </c>
      <c r="D732" s="2">
        <v>39.393939393939398</v>
      </c>
      <c r="E732" s="2">
        <v>62</v>
      </c>
      <c r="F732" s="301">
        <v>6.2746685558141887E-3</v>
      </c>
      <c r="G732" s="14">
        <v>32.727272727272698</v>
      </c>
      <c r="H732" s="2">
        <v>114</v>
      </c>
      <c r="I732" s="301">
        <v>1.1016621569385389E-2</v>
      </c>
      <c r="J732" s="14">
        <v>55.757576</v>
      </c>
      <c r="K732" s="301">
        <v>0.52</v>
      </c>
      <c r="L732" s="2">
        <v>140</v>
      </c>
      <c r="M732" s="301">
        <v>1.0102467888584212E-2</v>
      </c>
      <c r="N732" s="2">
        <v>52.727272727272698</v>
      </c>
      <c r="O732" s="2">
        <v>124</v>
      </c>
      <c r="P732" s="301">
        <v>7.6054955839057903E-3</v>
      </c>
      <c r="Q732" s="14">
        <v>50.909090909090899</v>
      </c>
      <c r="R732" s="2">
        <v>278</v>
      </c>
      <c r="S732" s="301">
        <v>1.5597823037647982E-2</v>
      </c>
      <c r="T732" s="14">
        <v>77.575760000000002</v>
      </c>
      <c r="U732" s="301">
        <v>0.98571428571428577</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1830</v>
      </c>
      <c r="B733" s="2">
        <v>268</v>
      </c>
      <c r="C733" s="301">
        <v>3.2347616173808089E-2</v>
      </c>
      <c r="D733" s="2">
        <v>80</v>
      </c>
      <c r="E733" s="2">
        <v>369</v>
      </c>
      <c r="F733" s="301">
        <v>3.7344398340248962E-2</v>
      </c>
      <c r="G733" s="14">
        <v>87.272727272727195</v>
      </c>
      <c r="H733" s="2">
        <v>266</v>
      </c>
      <c r="I733" s="301">
        <v>2.5705450328565905E-2</v>
      </c>
      <c r="J733" s="14">
        <v>90.909090000000006</v>
      </c>
      <c r="K733" s="301">
        <v>-7.462686567164179E-3</v>
      </c>
      <c r="L733" s="2">
        <v>388</v>
      </c>
      <c r="M733" s="301">
        <v>2.7998268148361958E-2</v>
      </c>
      <c r="N733" s="2">
        <v>99.393939393939405</v>
      </c>
      <c r="O733" s="2">
        <v>490</v>
      </c>
      <c r="P733" s="301">
        <v>3.0053974484789008E-2</v>
      </c>
      <c r="Q733" s="14">
        <v>103.636363636363</v>
      </c>
      <c r="R733" s="2">
        <v>475</v>
      </c>
      <c r="S733" s="301">
        <v>2.6650956629074792E-2</v>
      </c>
      <c r="T733" s="14">
        <v>109.696968</v>
      </c>
      <c r="U733" s="301">
        <v>0.22422680412371135</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1831</v>
      </c>
      <c r="B734" s="2">
        <v>357</v>
      </c>
      <c r="C734" s="301">
        <v>4.3089921544960774E-2</v>
      </c>
      <c r="D734" s="2">
        <v>97.575757575757606</v>
      </c>
      <c r="E734" s="2">
        <v>232</v>
      </c>
      <c r="F734" s="301">
        <v>2.3479404918530514E-2</v>
      </c>
      <c r="G734" s="14">
        <v>73.939393939393895</v>
      </c>
      <c r="H734" s="2">
        <v>275</v>
      </c>
      <c r="I734" s="301">
        <v>2.6575183610359491E-2</v>
      </c>
      <c r="J734" s="14">
        <v>80.606063800000001</v>
      </c>
      <c r="K734" s="301">
        <v>-0.22969187675070027</v>
      </c>
      <c r="L734" s="2">
        <v>518</v>
      </c>
      <c r="M734" s="301">
        <v>3.737913118776158E-2</v>
      </c>
      <c r="N734" s="2">
        <v>112.72727272727199</v>
      </c>
      <c r="O734" s="2">
        <v>551</v>
      </c>
      <c r="P734" s="301">
        <v>3.3795387634936211E-2</v>
      </c>
      <c r="Q734" s="14">
        <v>109.09090909090899</v>
      </c>
      <c r="R734" s="2">
        <v>437</v>
      </c>
      <c r="S734" s="301">
        <v>2.4518880098748808E-2</v>
      </c>
      <c r="T734" s="14">
        <v>100</v>
      </c>
      <c r="U734" s="301">
        <v>-0.15637065637065636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1771</v>
      </c>
      <c r="B735" s="2">
        <v>1085</v>
      </c>
      <c r="C735" s="301">
        <v>0.13095956547978274</v>
      </c>
      <c r="D735" s="2">
        <v>149.69696969696901</v>
      </c>
      <c r="E735" s="2">
        <v>1400</v>
      </c>
      <c r="F735" s="301">
        <v>0.1416860641635462</v>
      </c>
      <c r="G735" s="14">
        <v>164.24242424242399</v>
      </c>
      <c r="H735" s="2">
        <v>1398</v>
      </c>
      <c r="I735" s="301">
        <v>0.1350985697719366</v>
      </c>
      <c r="J735" s="14">
        <v>168.484848</v>
      </c>
      <c r="K735" s="301">
        <v>0.28847926267281104</v>
      </c>
      <c r="L735" s="2">
        <v>1616</v>
      </c>
      <c r="M735" s="301">
        <v>0.11661134362822918</v>
      </c>
      <c r="N735" s="2">
        <v>176.969696969696</v>
      </c>
      <c r="O735" s="2">
        <v>1854</v>
      </c>
      <c r="P735" s="301">
        <v>0.1137144259077527</v>
      </c>
      <c r="Q735" s="14">
        <v>205.45454545454501</v>
      </c>
      <c r="R735" s="2">
        <v>2189</v>
      </c>
      <c r="S735" s="301">
        <v>0.12281882960219941</v>
      </c>
      <c r="T735" s="14">
        <v>203.03030000000001</v>
      </c>
      <c r="U735" s="301">
        <v>0.35457920792079206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1827</v>
      </c>
      <c r="B736" s="2">
        <v>879</v>
      </c>
      <c r="C736" s="301">
        <v>0.10609535304767652</v>
      </c>
      <c r="D736" s="2">
        <v>136.363636363636</v>
      </c>
      <c r="E736" s="2">
        <v>993</v>
      </c>
      <c r="F736" s="301">
        <v>0.10049590122457241</v>
      </c>
      <c r="G736" s="14">
        <v>148.48484848484799</v>
      </c>
      <c r="H736" s="2">
        <v>1065</v>
      </c>
      <c r="I736" s="301">
        <v>0.10291843834557403</v>
      </c>
      <c r="J736" s="14">
        <v>162.42424</v>
      </c>
      <c r="K736" s="301">
        <v>0.21160409556313994</v>
      </c>
      <c r="L736" s="2">
        <v>1204</v>
      </c>
      <c r="M736" s="301">
        <v>8.6881223841824215E-2</v>
      </c>
      <c r="N736" s="2">
        <v>158.78787878787799</v>
      </c>
      <c r="O736" s="2">
        <v>1304</v>
      </c>
      <c r="P736" s="301">
        <v>7.9980372914622178E-2</v>
      </c>
      <c r="Q736" s="14">
        <v>180.60606060606</v>
      </c>
      <c r="R736" s="2">
        <v>1565</v>
      </c>
      <c r="S736" s="301">
        <v>8.7807888683162208E-2</v>
      </c>
      <c r="T736" s="14">
        <v>201.21212800000001</v>
      </c>
      <c r="U736" s="301">
        <v>0.29983388704318936</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1828</v>
      </c>
      <c r="B737" s="2">
        <v>270</v>
      </c>
      <c r="C737" s="301">
        <v>3.2589016294508145E-2</v>
      </c>
      <c r="D737" s="2">
        <v>83.636363636363598</v>
      </c>
      <c r="E737" s="2">
        <v>166</v>
      </c>
      <c r="F737" s="301">
        <v>1.6799919036534765E-2</v>
      </c>
      <c r="G737" s="14">
        <v>69.696969696969703</v>
      </c>
      <c r="H737" s="2">
        <v>131</v>
      </c>
      <c r="I737" s="301">
        <v>1.2659451101662157E-2</v>
      </c>
      <c r="J737" s="14">
        <v>56.363636</v>
      </c>
      <c r="K737" s="301">
        <v>-0.51481481481481484</v>
      </c>
      <c r="L737" s="2">
        <v>356</v>
      </c>
      <c r="M737" s="301">
        <v>2.5689132630971279E-2</v>
      </c>
      <c r="N737" s="2">
        <v>103.030303030303</v>
      </c>
      <c r="O737" s="2">
        <v>199</v>
      </c>
      <c r="P737" s="301">
        <v>1.2205593719332679E-2</v>
      </c>
      <c r="Q737" s="14">
        <v>64.242424242424207</v>
      </c>
      <c r="R737" s="2">
        <v>247</v>
      </c>
      <c r="S737" s="301">
        <v>1.3858497447118891E-2</v>
      </c>
      <c r="T737" s="14">
        <v>62.4242439</v>
      </c>
      <c r="U737" s="301">
        <v>-0.3061797752808989</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1829</v>
      </c>
      <c r="B738" s="2">
        <v>224</v>
      </c>
      <c r="C738" s="301">
        <v>2.7036813518406758E-2</v>
      </c>
      <c r="D738" s="2">
        <v>73.3333333333333</v>
      </c>
      <c r="E738" s="2">
        <v>184</v>
      </c>
      <c r="F738" s="301">
        <v>1.8621597004351786E-2</v>
      </c>
      <c r="G738" s="14">
        <v>63.636363636363598</v>
      </c>
      <c r="H738" s="2">
        <v>416</v>
      </c>
      <c r="I738" s="301">
        <v>4.0201005025125629E-2</v>
      </c>
      <c r="J738" s="14">
        <v>118.181816</v>
      </c>
      <c r="K738" s="301">
        <v>0.8571428571428571</v>
      </c>
      <c r="L738" s="2">
        <v>248</v>
      </c>
      <c r="M738" s="301">
        <v>1.7895800259777744E-2</v>
      </c>
      <c r="N738" s="2">
        <v>76.363636363636303</v>
      </c>
      <c r="O738" s="2">
        <v>229</v>
      </c>
      <c r="P738" s="301">
        <v>1.4045632973503435E-2</v>
      </c>
      <c r="Q738" s="14">
        <v>75.151515151515099</v>
      </c>
      <c r="R738" s="2">
        <v>533</v>
      </c>
      <c r="S738" s="301">
        <v>2.9905178701677606E-2</v>
      </c>
      <c r="T738" s="14">
        <v>122.42424</v>
      </c>
      <c r="U738" s="301">
        <v>1.1491935483870968</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1830</v>
      </c>
      <c r="B739" s="2">
        <v>385</v>
      </c>
      <c r="C739" s="301">
        <v>4.6469523234761619E-2</v>
      </c>
      <c r="D739" s="2">
        <v>89.090909090909093</v>
      </c>
      <c r="E739" s="2">
        <v>643</v>
      </c>
      <c r="F739" s="301">
        <v>6.5074385183685857E-2</v>
      </c>
      <c r="G739" s="14">
        <v>140.60606060606</v>
      </c>
      <c r="H739" s="2">
        <v>518</v>
      </c>
      <c r="I739" s="301">
        <v>5.005798221878624E-2</v>
      </c>
      <c r="J739" s="14">
        <v>124.242424</v>
      </c>
      <c r="K739" s="301">
        <v>0.34545454545454546</v>
      </c>
      <c r="L739" s="2">
        <v>600</v>
      </c>
      <c r="M739" s="301">
        <v>4.3296290951075192E-2</v>
      </c>
      <c r="N739" s="2">
        <v>114.54545454545401</v>
      </c>
      <c r="O739" s="2">
        <v>876</v>
      </c>
      <c r="P739" s="301">
        <v>5.3729146221786067E-2</v>
      </c>
      <c r="Q739" s="14">
        <v>156.363636363636</v>
      </c>
      <c r="R739" s="2">
        <v>785</v>
      </c>
      <c r="S739" s="301">
        <v>4.4044212534365711E-2</v>
      </c>
      <c r="T739" s="14">
        <v>151.515152</v>
      </c>
      <c r="U739" s="301">
        <v>0.30833333333333335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1831</v>
      </c>
      <c r="B740" s="2">
        <v>206</v>
      </c>
      <c r="C740" s="301">
        <v>2.4864212432106216E-2</v>
      </c>
      <c r="D740" s="2">
        <v>58.181818181818201</v>
      </c>
      <c r="E740" s="2">
        <v>407</v>
      </c>
      <c r="F740" s="301">
        <v>4.119016293897379E-2</v>
      </c>
      <c r="G740" s="14">
        <v>84.848484848484802</v>
      </c>
      <c r="H740" s="2">
        <v>333</v>
      </c>
      <c r="I740" s="301">
        <v>3.2180131426362585E-2</v>
      </c>
      <c r="J740" s="14">
        <v>92.727270000000004</v>
      </c>
      <c r="K740" s="301">
        <v>0.61650485436893199</v>
      </c>
      <c r="L740" s="2">
        <v>412</v>
      </c>
      <c r="M740" s="301">
        <v>2.9730119786404965E-2</v>
      </c>
      <c r="N740" s="2">
        <v>81.212121212121204</v>
      </c>
      <c r="O740" s="2">
        <v>550</v>
      </c>
      <c r="P740" s="301">
        <v>3.3734052993130523E-2</v>
      </c>
      <c r="Q740" s="14">
        <v>111.515151515151</v>
      </c>
      <c r="R740" s="2">
        <v>624</v>
      </c>
      <c r="S740" s="301">
        <v>3.5010940919037198E-2</v>
      </c>
      <c r="T740" s="14">
        <v>121.818184</v>
      </c>
      <c r="U740" s="301">
        <v>0.5145631067961165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1841</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1706</v>
      </c>
      <c r="C743" s="304"/>
      <c r="D743" s="304" t="s">
        <v>1707</v>
      </c>
      <c r="E743" s="304" t="s">
        <v>1706</v>
      </c>
      <c r="F743" s="304"/>
      <c r="G743" s="304" t="s">
        <v>1707</v>
      </c>
      <c r="H743" s="304" t="s">
        <v>1706</v>
      </c>
      <c r="I743" s="304"/>
      <c r="J743" s="304" t="s">
        <v>1707</v>
      </c>
      <c r="K743" t="s">
        <v>172</v>
      </c>
      <c r="L743" s="304" t="s">
        <v>1706</v>
      </c>
      <c r="M743" s="304"/>
      <c r="N743" s="304" t="s">
        <v>1707</v>
      </c>
      <c r="O743" s="304" t="s">
        <v>1706</v>
      </c>
      <c r="P743" s="304"/>
      <c r="Q743" s="304" t="s">
        <v>1707</v>
      </c>
      <c r="R743" s="304" t="s">
        <v>1706</v>
      </c>
      <c r="S743" s="304"/>
      <c r="T743" s="304" t="s">
        <v>1707</v>
      </c>
      <c r="U743" t="s">
        <v>172</v>
      </c>
      <c r="V743" s="207" t="s">
        <v>1706</v>
      </c>
      <c r="W743" s="207"/>
      <c r="X743" s="207" t="s">
        <v>1707</v>
      </c>
      <c r="Y743" s="207" t="s">
        <v>1706</v>
      </c>
      <c r="Z743" s="207"/>
      <c r="AA743" s="207" t="s">
        <v>1707</v>
      </c>
      <c r="AB743" s="207" t="s">
        <v>1706</v>
      </c>
      <c r="AC743" s="207"/>
      <c r="AD743" s="207" t="s">
        <v>1707</v>
      </c>
      <c r="AE743" t="s">
        <v>172</v>
      </c>
    </row>
    <row r="744" spans="1:31" x14ac:dyDescent="0.3">
      <c r="A744" t="s">
        <v>174</v>
      </c>
      <c r="B744" s="2">
        <v>12490</v>
      </c>
      <c r="C744" t="s">
        <v>172</v>
      </c>
      <c r="D744" s="2">
        <v>264.84848484848402</v>
      </c>
      <c r="E744" s="2">
        <v>13361</v>
      </c>
      <c r="F744" t="s">
        <v>172</v>
      </c>
      <c r="G744" s="14">
        <v>282.42424242424198</v>
      </c>
      <c r="H744" s="2">
        <v>14271</v>
      </c>
      <c r="I744" t="s">
        <v>172</v>
      </c>
      <c r="J744" s="14">
        <v>302.42425500000002</v>
      </c>
      <c r="K744" s="301">
        <v>0.14259407526020818</v>
      </c>
      <c r="L744" s="2">
        <v>32768</v>
      </c>
      <c r="M744" t="s">
        <v>172</v>
      </c>
      <c r="N744" s="2">
        <v>467.27272727272702</v>
      </c>
      <c r="O744" s="2">
        <v>33201</v>
      </c>
      <c r="P744" t="s">
        <v>172</v>
      </c>
      <c r="Q744" s="14">
        <v>509.09090909090901</v>
      </c>
      <c r="R744" s="2">
        <v>34966</v>
      </c>
      <c r="S744" t="s">
        <v>172</v>
      </c>
      <c r="T744" s="14">
        <v>380.60604899999998</v>
      </c>
      <c r="U744" s="301">
        <v>6.707763671875E-2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1804</v>
      </c>
      <c r="B745" s="2">
        <v>2665</v>
      </c>
      <c r="C745" s="301">
        <v>0.2133706965572458</v>
      </c>
      <c r="D745" s="2">
        <v>182.42424242424201</v>
      </c>
      <c r="E745" s="2">
        <v>3397</v>
      </c>
      <c r="F745" s="301">
        <v>0.25424743656911908</v>
      </c>
      <c r="G745" s="14">
        <v>260</v>
      </c>
      <c r="H745" s="2">
        <v>3047</v>
      </c>
      <c r="I745" s="301">
        <v>0.21350991521266904</v>
      </c>
      <c r="J745" s="14">
        <v>293.33334400000001</v>
      </c>
      <c r="K745" s="301">
        <v>0.14333958724202628</v>
      </c>
      <c r="L745" s="2">
        <v>4785</v>
      </c>
      <c r="M745" s="301">
        <v>0.146026611328125</v>
      </c>
      <c r="N745" s="2">
        <v>290.30303030303003</v>
      </c>
      <c r="O745" s="2">
        <v>6394</v>
      </c>
      <c r="P745" s="301">
        <v>0.19258456070600283</v>
      </c>
      <c r="Q745" s="14">
        <v>360</v>
      </c>
      <c r="R745" s="2">
        <v>4975</v>
      </c>
      <c r="S745" s="301">
        <v>0.14228107304238402</v>
      </c>
      <c r="T745" s="14">
        <v>381.21212800000001</v>
      </c>
      <c r="U745" s="301">
        <v>3.9707419017763847E-2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1768</v>
      </c>
      <c r="B746" s="2">
        <v>1325</v>
      </c>
      <c r="C746" s="301">
        <v>0.10608486789431545</v>
      </c>
      <c r="D746" s="2">
        <v>133.939393939393</v>
      </c>
      <c r="E746" s="2">
        <v>1277</v>
      </c>
      <c r="F746" s="301">
        <v>9.5576678392335898E-2</v>
      </c>
      <c r="G746" s="14">
        <v>150.30303030303</v>
      </c>
      <c r="H746" s="2">
        <v>1525</v>
      </c>
      <c r="I746" s="301">
        <v>0.10686006586784388</v>
      </c>
      <c r="J746" s="14">
        <v>187.878784</v>
      </c>
      <c r="K746" s="301">
        <v>0.15094339622641509</v>
      </c>
      <c r="L746" s="2">
        <v>2369</v>
      </c>
      <c r="M746" s="301">
        <v>7.2296142578125E-2</v>
      </c>
      <c r="N746" s="2">
        <v>193.939393939393</v>
      </c>
      <c r="O746" s="2">
        <v>2882</v>
      </c>
      <c r="P746" s="301">
        <v>8.6804614318845813E-2</v>
      </c>
      <c r="Q746" s="14">
        <v>224.84848484848399</v>
      </c>
      <c r="R746" s="2">
        <v>2466</v>
      </c>
      <c r="S746" s="301">
        <v>7.0525653491963616E-2</v>
      </c>
      <c r="T746" s="14">
        <v>256.96969999999999</v>
      </c>
      <c r="U746" s="301">
        <v>4.0945546644153653E-2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1842</v>
      </c>
      <c r="B747" s="2">
        <v>431</v>
      </c>
      <c r="C747" s="301">
        <v>3.4507606084867894E-2</v>
      </c>
      <c r="D747" s="2">
        <v>83.030303030303003</v>
      </c>
      <c r="E747" s="2">
        <v>478</v>
      </c>
      <c r="F747" s="301">
        <v>3.5775765287029415E-2</v>
      </c>
      <c r="G747" s="14">
        <v>107.272727272727</v>
      </c>
      <c r="H747" s="2">
        <v>332</v>
      </c>
      <c r="I747" s="301">
        <v>2.326396188073716E-2</v>
      </c>
      <c r="J747" s="14">
        <v>80.606063800000001</v>
      </c>
      <c r="K747" s="301">
        <v>-0.22969837587006961</v>
      </c>
      <c r="L747" s="2">
        <v>787</v>
      </c>
      <c r="M747" s="301">
        <v>2.4017333984375E-2</v>
      </c>
      <c r="N747" s="2">
        <v>111.515151515151</v>
      </c>
      <c r="O747" s="2">
        <v>1203</v>
      </c>
      <c r="P747" s="301">
        <v>3.6233848378060901E-2</v>
      </c>
      <c r="Q747" s="14">
        <v>154.54545454545399</v>
      </c>
      <c r="R747" s="2">
        <v>819</v>
      </c>
      <c r="S747" s="301">
        <v>2.3422753532002516E-2</v>
      </c>
      <c r="T747" s="14">
        <v>136.363632</v>
      </c>
      <c r="U747" s="301">
        <v>4.0660736975857689E-2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1843</v>
      </c>
      <c r="B748" s="2">
        <v>894</v>
      </c>
      <c r="C748" s="301">
        <v>7.1577261809447554E-2</v>
      </c>
      <c r="D748" s="2">
        <v>130.30303030303</v>
      </c>
      <c r="E748" s="2">
        <v>799</v>
      </c>
      <c r="F748" s="301">
        <v>5.980091310530649E-2</v>
      </c>
      <c r="G748" s="14">
        <v>121.212121212121</v>
      </c>
      <c r="H748" s="2">
        <v>1193</v>
      </c>
      <c r="I748" s="301">
        <v>8.3596103987106721E-2</v>
      </c>
      <c r="J748" s="14">
        <v>181.81817599999999</v>
      </c>
      <c r="K748" s="301">
        <v>0.33445190156599552</v>
      </c>
      <c r="L748" s="2">
        <v>1582</v>
      </c>
      <c r="M748" s="301">
        <v>4.827880859375E-2</v>
      </c>
      <c r="N748" s="2">
        <v>172.12121212121201</v>
      </c>
      <c r="O748" s="2">
        <v>1679</v>
      </c>
      <c r="P748" s="301">
        <v>5.0570765940784919E-2</v>
      </c>
      <c r="Q748" s="14">
        <v>189.69696969696901</v>
      </c>
      <c r="R748" s="2">
        <v>1647</v>
      </c>
      <c r="S748" s="301">
        <v>4.7102899959961107E-2</v>
      </c>
      <c r="T748" s="14">
        <v>220.606064</v>
      </c>
      <c r="U748" s="301">
        <v>4.1087231352718079E-2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1844</v>
      </c>
      <c r="B749" s="2">
        <v>1340</v>
      </c>
      <c r="C749" s="301">
        <v>0.10728582866293035</v>
      </c>
      <c r="D749" s="2">
        <v>137.575757575757</v>
      </c>
      <c r="E749" s="2">
        <v>2120</v>
      </c>
      <c r="F749" s="301">
        <v>0.15867075817678317</v>
      </c>
      <c r="G749" s="14">
        <v>205.45454545454501</v>
      </c>
      <c r="H749" s="2">
        <v>1522</v>
      </c>
      <c r="I749" s="301">
        <v>0.10664984934482517</v>
      </c>
      <c r="J749" s="14">
        <v>231.515152</v>
      </c>
      <c r="K749" s="301">
        <v>0.13582089552238805</v>
      </c>
      <c r="L749" s="2">
        <v>2416</v>
      </c>
      <c r="M749" s="301">
        <v>7.373046875E-2</v>
      </c>
      <c r="N749" s="2">
        <v>223.636363636363</v>
      </c>
      <c r="O749" s="2">
        <v>3512</v>
      </c>
      <c r="P749" s="301">
        <v>0.10577994638715701</v>
      </c>
      <c r="Q749" s="14">
        <v>284.84848484848402</v>
      </c>
      <c r="R749" s="2">
        <v>2509</v>
      </c>
      <c r="S749" s="301">
        <v>7.1755419550420405E-2</v>
      </c>
      <c r="T749" s="14">
        <v>292.72726399999999</v>
      </c>
      <c r="U749" s="301">
        <v>3.8493377483443711E-2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1770</v>
      </c>
      <c r="B750" s="2">
        <v>94</v>
      </c>
      <c r="C750" s="301">
        <v>7.5260208166533227E-3</v>
      </c>
      <c r="D750" s="2">
        <v>49.090909090909101</v>
      </c>
      <c r="E750" s="2">
        <v>377</v>
      </c>
      <c r="F750" s="301">
        <v>2.8216450864456254E-2</v>
      </c>
      <c r="G750" s="14">
        <v>96.363636363636402</v>
      </c>
      <c r="H750" s="2">
        <v>350</v>
      </c>
      <c r="I750" s="301">
        <v>2.4525261018849415E-2</v>
      </c>
      <c r="J750" s="14">
        <v>93.333335899999994</v>
      </c>
      <c r="K750" s="301">
        <v>2.7234042553191489</v>
      </c>
      <c r="L750" s="2">
        <v>362</v>
      </c>
      <c r="M750" s="301">
        <v>1.104736328125E-2</v>
      </c>
      <c r="N750" s="2">
        <v>97.575757575757606</v>
      </c>
      <c r="O750" s="2">
        <v>764</v>
      </c>
      <c r="P750" s="301">
        <v>2.3011355079666274E-2</v>
      </c>
      <c r="Q750" s="14">
        <v>128.48484848484799</v>
      </c>
      <c r="R750" s="2">
        <v>578</v>
      </c>
      <c r="S750" s="301">
        <v>1.6530343762512154E-2</v>
      </c>
      <c r="T750" s="14">
        <v>126.666664</v>
      </c>
      <c r="U750" s="301">
        <v>0.59668508287292821</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1842</v>
      </c>
      <c r="B751" s="2">
        <v>29</v>
      </c>
      <c r="C751" s="301">
        <v>2.321857485988791E-3</v>
      </c>
      <c r="D751" s="2">
        <v>20</v>
      </c>
      <c r="E751" s="2">
        <v>64</v>
      </c>
      <c r="F751" s="301">
        <v>4.7900606242047752E-3</v>
      </c>
      <c r="G751" s="14">
        <v>43.030303030303003</v>
      </c>
      <c r="H751" s="2">
        <v>101</v>
      </c>
      <c r="I751" s="301">
        <v>7.0772896082965456E-3</v>
      </c>
      <c r="J751" s="14">
        <v>63.030304000000001</v>
      </c>
      <c r="K751" s="301">
        <v>2.4827586206896552</v>
      </c>
      <c r="L751" s="2">
        <v>134</v>
      </c>
      <c r="M751" s="301">
        <v>4.08935546875E-3</v>
      </c>
      <c r="N751" s="2">
        <v>49.696969696969703</v>
      </c>
      <c r="O751" s="2">
        <v>211</v>
      </c>
      <c r="P751" s="301">
        <v>6.3552302641486699E-3</v>
      </c>
      <c r="Q751" s="14">
        <v>66.6666666666666</v>
      </c>
      <c r="R751" s="2">
        <v>175</v>
      </c>
      <c r="S751" s="301">
        <v>5.0048618658125035E-3</v>
      </c>
      <c r="T751" s="14">
        <v>75.151510000000002</v>
      </c>
      <c r="U751" s="301">
        <v>0.30597014925373134</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1843</v>
      </c>
      <c r="B752" s="2">
        <v>65</v>
      </c>
      <c r="C752" s="301">
        <v>5.2041633306645317E-3</v>
      </c>
      <c r="D752" s="2">
        <v>44.848484848484802</v>
      </c>
      <c r="E752" s="2">
        <v>313</v>
      </c>
      <c r="F752" s="301">
        <v>2.3426390240251477E-2</v>
      </c>
      <c r="G752" s="14">
        <v>83.030303030303003</v>
      </c>
      <c r="H752" s="2">
        <v>249</v>
      </c>
      <c r="I752" s="301">
        <v>1.7447971410552869E-2</v>
      </c>
      <c r="J752" s="14">
        <v>76.969695999999999</v>
      </c>
      <c r="K752" s="301">
        <v>2.8307692307692309</v>
      </c>
      <c r="L752" s="2">
        <v>228</v>
      </c>
      <c r="M752" s="301">
        <v>6.9580078125E-3</v>
      </c>
      <c r="N752" s="2">
        <v>78.181818181818201</v>
      </c>
      <c r="O752" s="2">
        <v>553</v>
      </c>
      <c r="P752" s="301">
        <v>1.6656124815517606E-2</v>
      </c>
      <c r="Q752" s="14">
        <v>106.06060606060601</v>
      </c>
      <c r="R752" s="2">
        <v>403</v>
      </c>
      <c r="S752" s="301">
        <v>1.1525481896699651E-2</v>
      </c>
      <c r="T752" s="14">
        <v>105.454544</v>
      </c>
      <c r="U752" s="301">
        <v>0.76754385964912286</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1771</v>
      </c>
      <c r="B753" s="2">
        <v>1246</v>
      </c>
      <c r="C753" s="301">
        <v>9.9759807846277027E-2</v>
      </c>
      <c r="D753" s="2">
        <v>128.48484848484799</v>
      </c>
      <c r="E753" s="2">
        <v>1743</v>
      </c>
      <c r="F753" s="301">
        <v>0.13045430731232693</v>
      </c>
      <c r="G753" s="14">
        <v>173.333333333333</v>
      </c>
      <c r="H753" s="2">
        <v>1172</v>
      </c>
      <c r="I753" s="301">
        <v>8.2124588325975759E-2</v>
      </c>
      <c r="J753" s="14">
        <v>201.21212800000001</v>
      </c>
      <c r="K753" s="301">
        <v>-5.93900481540931E-2</v>
      </c>
      <c r="L753" s="2">
        <v>2054</v>
      </c>
      <c r="M753" s="301">
        <v>6.268310546875E-2</v>
      </c>
      <c r="N753" s="2">
        <v>192.12121212121201</v>
      </c>
      <c r="O753" s="2">
        <v>2748</v>
      </c>
      <c r="P753" s="301">
        <v>8.2768591307490744E-2</v>
      </c>
      <c r="Q753" s="14">
        <v>252.72727272727201</v>
      </c>
      <c r="R753" s="2">
        <v>1931</v>
      </c>
      <c r="S753" s="301">
        <v>5.5225075787908251E-2</v>
      </c>
      <c r="T753" s="14">
        <v>249.090912</v>
      </c>
      <c r="U753" s="301">
        <v>-5.9883154819863678E-2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1842</v>
      </c>
      <c r="B754" s="2">
        <v>138</v>
      </c>
      <c r="C754" s="301">
        <v>1.1048839071257005E-2</v>
      </c>
      <c r="D754" s="2">
        <v>51.515151515151501</v>
      </c>
      <c r="E754" s="2">
        <v>181</v>
      </c>
      <c r="F754" s="301">
        <v>1.3546890202829129E-2</v>
      </c>
      <c r="G754" s="14">
        <v>53.939393939393902</v>
      </c>
      <c r="H754" s="2">
        <v>177</v>
      </c>
      <c r="I754" s="301">
        <v>1.2402774858103847E-2</v>
      </c>
      <c r="J754" s="14">
        <v>61.818179999999998</v>
      </c>
      <c r="K754" s="301">
        <v>0.28260869565217389</v>
      </c>
      <c r="L754" s="2">
        <v>307</v>
      </c>
      <c r="M754" s="301">
        <v>9.368896484375E-3</v>
      </c>
      <c r="N754" s="2">
        <v>75.151515151515099</v>
      </c>
      <c r="O754" s="2">
        <v>482</v>
      </c>
      <c r="P754" s="301">
        <v>1.4517635010993644E-2</v>
      </c>
      <c r="Q754" s="14">
        <v>115.757575757575</v>
      </c>
      <c r="R754" s="2">
        <v>445</v>
      </c>
      <c r="S754" s="301">
        <v>1.2726648744494652E-2</v>
      </c>
      <c r="T754" s="14">
        <v>96.969695999999999</v>
      </c>
      <c r="U754" s="301">
        <v>0.44951140065146578</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1843</v>
      </c>
      <c r="B755" s="2">
        <v>1108</v>
      </c>
      <c r="C755" s="301">
        <v>8.8710968775020022E-2</v>
      </c>
      <c r="D755" s="2">
        <v>126.666666666666</v>
      </c>
      <c r="E755" s="2">
        <v>1562</v>
      </c>
      <c r="F755" s="301">
        <v>0.11690741710949779</v>
      </c>
      <c r="G755" s="14">
        <v>173.333333333333</v>
      </c>
      <c r="H755" s="2">
        <v>995</v>
      </c>
      <c r="I755" s="301">
        <v>6.9721813467871901E-2</v>
      </c>
      <c r="J755" s="14">
        <v>192.121216</v>
      </c>
      <c r="K755" s="301">
        <v>-0.10198555956678701</v>
      </c>
      <c r="L755" s="2">
        <v>1747</v>
      </c>
      <c r="M755" s="301">
        <v>5.3314208984375E-2</v>
      </c>
      <c r="N755" s="2">
        <v>199.39393939393901</v>
      </c>
      <c r="O755" s="2">
        <v>2266</v>
      </c>
      <c r="P755" s="301">
        <v>6.8250956296497092E-2</v>
      </c>
      <c r="Q755" s="14">
        <v>225.45454545454501</v>
      </c>
      <c r="R755" s="2">
        <v>1486</v>
      </c>
      <c r="S755" s="301">
        <v>4.2498427043413604E-2</v>
      </c>
      <c r="T755" s="14">
        <v>220</v>
      </c>
      <c r="U755" s="301">
        <v>-0.1493989696622782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1820</v>
      </c>
      <c r="B756" s="2">
        <v>9825</v>
      </c>
      <c r="C756" s="301">
        <v>0.78662930344275417</v>
      </c>
      <c r="D756" s="2">
        <v>262.42424242424198</v>
      </c>
      <c r="E756" s="2">
        <v>9964</v>
      </c>
      <c r="F756" s="301">
        <v>0.74575256343088092</v>
      </c>
      <c r="G756" s="14">
        <v>328.48484848484799</v>
      </c>
      <c r="H756" s="2">
        <v>11224</v>
      </c>
      <c r="I756" s="301">
        <v>0.78649008478733096</v>
      </c>
      <c r="J756" s="14">
        <v>446.06060000000002</v>
      </c>
      <c r="K756" s="301">
        <v>0.14239185750636132</v>
      </c>
      <c r="L756" s="2">
        <v>27983</v>
      </c>
      <c r="M756" s="301">
        <v>0.853973388671875</v>
      </c>
      <c r="N756" s="2">
        <v>440.60606060606</v>
      </c>
      <c r="O756" s="2">
        <v>26807</v>
      </c>
      <c r="P756" s="301">
        <v>0.80741543929399717</v>
      </c>
      <c r="Q756" s="14">
        <v>533.93939393939399</v>
      </c>
      <c r="R756" s="2">
        <v>29991</v>
      </c>
      <c r="S756" s="301">
        <v>0.85771892695761598</v>
      </c>
      <c r="T756" s="14">
        <v>515.75756799999999</v>
      </c>
      <c r="U756" s="301">
        <v>7.1757852982167747E-2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1768</v>
      </c>
      <c r="B757" s="2">
        <v>6921</v>
      </c>
      <c r="C757" s="301">
        <v>0.55412329863891108</v>
      </c>
      <c r="D757" s="2">
        <v>246.666666666666</v>
      </c>
      <c r="E757" s="2">
        <v>6935</v>
      </c>
      <c r="F757" s="301">
        <v>0.51904797545093928</v>
      </c>
      <c r="G757" s="14">
        <v>286.666666666666</v>
      </c>
      <c r="H757" s="2">
        <v>8081</v>
      </c>
      <c r="I757" s="301">
        <v>0.56625324083806317</v>
      </c>
      <c r="J757" s="14">
        <v>401.81817599999999</v>
      </c>
      <c r="K757" s="301">
        <v>0.16760583730674758</v>
      </c>
      <c r="L757" s="2">
        <v>22106</v>
      </c>
      <c r="M757" s="301">
        <v>0.67462158203125</v>
      </c>
      <c r="N757" s="2">
        <v>469.69696969696901</v>
      </c>
      <c r="O757" s="2">
        <v>21319</v>
      </c>
      <c r="P757" s="301">
        <v>0.64211921327670851</v>
      </c>
      <c r="Q757" s="14">
        <v>509.69696969696901</v>
      </c>
      <c r="R757" s="2">
        <v>23629</v>
      </c>
      <c r="S757" s="301">
        <v>0.67577074872733511</v>
      </c>
      <c r="T757" s="14">
        <v>496.36364700000001</v>
      </c>
      <c r="U757" s="301">
        <v>6.8895322536867823E-2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1842</v>
      </c>
      <c r="B758" s="2">
        <v>4695</v>
      </c>
      <c r="C758" s="301">
        <v>0.37590072057646118</v>
      </c>
      <c r="D758" s="2">
        <v>222.42424242424201</v>
      </c>
      <c r="E758" s="2">
        <v>4510</v>
      </c>
      <c r="F758" s="301">
        <v>0.33754958461193024</v>
      </c>
      <c r="G758" s="14">
        <v>258.18181818181802</v>
      </c>
      <c r="H758" s="2">
        <v>5334</v>
      </c>
      <c r="I758" s="301">
        <v>0.3737649779272651</v>
      </c>
      <c r="J758" s="14">
        <v>309.69695999999999</v>
      </c>
      <c r="K758" s="301">
        <v>0.13610223642172525</v>
      </c>
      <c r="L758" s="2">
        <v>16973</v>
      </c>
      <c r="M758" s="301">
        <v>0.517974853515625</v>
      </c>
      <c r="N758" s="2">
        <v>456.969696969697</v>
      </c>
      <c r="O758" s="2">
        <v>16121</v>
      </c>
      <c r="P758" s="301">
        <v>0.48555766392578537</v>
      </c>
      <c r="Q758" s="14">
        <v>439.39393939393898</v>
      </c>
      <c r="R758" s="2">
        <v>18392</v>
      </c>
      <c r="S758" s="301">
        <v>0.52599668249156328</v>
      </c>
      <c r="T758" s="14">
        <v>481.81817599999999</v>
      </c>
      <c r="U758" s="301">
        <v>8.3603370058327936E-2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1843</v>
      </c>
      <c r="B759" s="2">
        <v>2226</v>
      </c>
      <c r="C759" s="301">
        <v>0.17822257806244995</v>
      </c>
      <c r="D759" s="2">
        <v>209.09090909090901</v>
      </c>
      <c r="E759" s="2">
        <v>2425</v>
      </c>
      <c r="F759" s="301">
        <v>0.18149839083900907</v>
      </c>
      <c r="G759" s="14">
        <v>181.21212121212099</v>
      </c>
      <c r="H759" s="2">
        <v>2747</v>
      </c>
      <c r="I759" s="301">
        <v>0.19248826291079812</v>
      </c>
      <c r="J759" s="14">
        <v>349.69695999999999</v>
      </c>
      <c r="K759" s="301">
        <v>0.23405211141060198</v>
      </c>
      <c r="L759" s="2">
        <v>5133</v>
      </c>
      <c r="M759" s="301">
        <v>0.156646728515625</v>
      </c>
      <c r="N759" s="2">
        <v>312.72727272727201</v>
      </c>
      <c r="O759" s="2">
        <v>5198</v>
      </c>
      <c r="P759" s="301">
        <v>0.15656154935092317</v>
      </c>
      <c r="Q759" s="14">
        <v>310.90909090909003</v>
      </c>
      <c r="R759" s="2">
        <v>5237</v>
      </c>
      <c r="S759" s="301">
        <v>0.14977406623577189</v>
      </c>
      <c r="T759" s="14">
        <v>440.60604899999998</v>
      </c>
      <c r="U759" s="301">
        <v>2.0261055912721607E-2</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1844</v>
      </c>
      <c r="B760" s="2">
        <v>2904</v>
      </c>
      <c r="C760" s="301">
        <v>0.23250600480384306</v>
      </c>
      <c r="D760" s="2">
        <v>243.636363636363</v>
      </c>
      <c r="E760" s="2">
        <v>3029</v>
      </c>
      <c r="F760" s="301">
        <v>0.22670458797994161</v>
      </c>
      <c r="G760" s="14">
        <v>238.78787878787799</v>
      </c>
      <c r="H760" s="2">
        <v>3143</v>
      </c>
      <c r="I760" s="301">
        <v>0.22023684394926774</v>
      </c>
      <c r="J760" s="14">
        <v>316.36364700000001</v>
      </c>
      <c r="K760" s="301">
        <v>8.2300275482093663E-2</v>
      </c>
      <c r="L760" s="2">
        <v>5877</v>
      </c>
      <c r="M760" s="301">
        <v>0.179351806640625</v>
      </c>
      <c r="N760" s="2">
        <v>345.45454545454498</v>
      </c>
      <c r="O760" s="2">
        <v>5488</v>
      </c>
      <c r="P760" s="301">
        <v>0.16529622601728863</v>
      </c>
      <c r="Q760" s="14">
        <v>350.90909090909003</v>
      </c>
      <c r="R760" s="2">
        <v>6362</v>
      </c>
      <c r="S760" s="301">
        <v>0.18194817823028084</v>
      </c>
      <c r="T760" s="14">
        <v>443.63635299999999</v>
      </c>
      <c r="U760" s="301">
        <v>8.2525097839033515E-2</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1770</v>
      </c>
      <c r="B761" s="2">
        <v>1128</v>
      </c>
      <c r="C761" s="301">
        <v>9.0312249799839872E-2</v>
      </c>
      <c r="D761" s="2">
        <v>143.636363636363</v>
      </c>
      <c r="E761" s="2">
        <v>856</v>
      </c>
      <c r="F761" s="301">
        <v>6.4067060848738866E-2</v>
      </c>
      <c r="G761" s="14">
        <v>135.75757575757501</v>
      </c>
      <c r="H761" s="2">
        <v>964</v>
      </c>
      <c r="I761" s="301">
        <v>6.7549576063345246E-2</v>
      </c>
      <c r="J761" s="14">
        <v>149.090912</v>
      </c>
      <c r="K761" s="301">
        <v>-0.1453900709219858</v>
      </c>
      <c r="L761" s="2">
        <v>2259</v>
      </c>
      <c r="M761" s="301">
        <v>6.8939208984375E-2</v>
      </c>
      <c r="N761" s="2">
        <v>229.09090909090901</v>
      </c>
      <c r="O761" s="2">
        <v>1808</v>
      </c>
      <c r="P761" s="301">
        <v>5.4456191078581968E-2</v>
      </c>
      <c r="Q761" s="14">
        <v>196.363636363636</v>
      </c>
      <c r="R761" s="2">
        <v>2272</v>
      </c>
      <c r="S761" s="301">
        <v>6.4977406623577191E-2</v>
      </c>
      <c r="T761" s="14">
        <v>204.24243200000001</v>
      </c>
      <c r="U761" s="301">
        <v>5.754758742806552E-3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1842</v>
      </c>
      <c r="B762" s="2">
        <v>508</v>
      </c>
      <c r="C762" s="301">
        <v>4.0672538030424338E-2</v>
      </c>
      <c r="D762" s="2">
        <v>107.272727272727</v>
      </c>
      <c r="E762" s="2">
        <v>310</v>
      </c>
      <c r="F762" s="301">
        <v>2.3201856148491878E-2</v>
      </c>
      <c r="G762" s="14">
        <v>85.454545454545396</v>
      </c>
      <c r="H762" s="2">
        <v>467</v>
      </c>
      <c r="I762" s="301">
        <v>3.2723705416579076E-2</v>
      </c>
      <c r="J762" s="14">
        <v>116.969696</v>
      </c>
      <c r="K762" s="301">
        <v>-8.070866141732283E-2</v>
      </c>
      <c r="L762" s="2">
        <v>1133</v>
      </c>
      <c r="M762" s="301">
        <v>3.4576416015625E-2</v>
      </c>
      <c r="N762" s="2">
        <v>175.15151515151501</v>
      </c>
      <c r="O762" s="2">
        <v>839</v>
      </c>
      <c r="P762" s="301">
        <v>2.5270323183036656E-2</v>
      </c>
      <c r="Q762" s="14">
        <v>141.21212121212099</v>
      </c>
      <c r="R762" s="2">
        <v>1296</v>
      </c>
      <c r="S762" s="301">
        <v>3.7064577017674315E-2</v>
      </c>
      <c r="T762" s="14">
        <v>176.363632</v>
      </c>
      <c r="U762" s="301">
        <v>0.14386584289496912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1843</v>
      </c>
      <c r="B763" s="2">
        <v>620</v>
      </c>
      <c r="C763" s="301">
        <v>4.9639711769415534E-2</v>
      </c>
      <c r="D763" s="2">
        <v>98.787878787878796</v>
      </c>
      <c r="E763" s="2">
        <v>546</v>
      </c>
      <c r="F763" s="301">
        <v>4.0865204700246988E-2</v>
      </c>
      <c r="G763" s="14">
        <v>96.363636363636402</v>
      </c>
      <c r="H763" s="2">
        <v>497</v>
      </c>
      <c r="I763" s="301">
        <v>3.482587064676617E-2</v>
      </c>
      <c r="J763" s="14">
        <v>95.757576</v>
      </c>
      <c r="K763" s="301">
        <v>-0.19838709677419356</v>
      </c>
      <c r="L763" s="2">
        <v>1126</v>
      </c>
      <c r="M763" s="301">
        <v>3.436279296875E-2</v>
      </c>
      <c r="N763" s="2">
        <v>155.75757575757501</v>
      </c>
      <c r="O763" s="2">
        <v>969</v>
      </c>
      <c r="P763" s="301">
        <v>2.9185867895545316E-2</v>
      </c>
      <c r="Q763" s="14">
        <v>130.90909090909</v>
      </c>
      <c r="R763" s="2">
        <v>976</v>
      </c>
      <c r="S763" s="301">
        <v>2.7912829605902877E-2</v>
      </c>
      <c r="T763" s="14">
        <v>122.42424</v>
      </c>
      <c r="U763" s="301">
        <v>-0.13321492007104796</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1771</v>
      </c>
      <c r="B764" s="2">
        <v>1776</v>
      </c>
      <c r="C764" s="301">
        <v>0.14219375500400319</v>
      </c>
      <c r="D764" s="2">
        <v>195.15151515151501</v>
      </c>
      <c r="E764" s="2">
        <v>2173</v>
      </c>
      <c r="F764" s="301">
        <v>0.16263752713120275</v>
      </c>
      <c r="G764" s="14">
        <v>204.84848484848399</v>
      </c>
      <c r="H764" s="2">
        <v>2179</v>
      </c>
      <c r="I764" s="301">
        <v>0.15268726788592249</v>
      </c>
      <c r="J764" s="14">
        <v>259.39395100000002</v>
      </c>
      <c r="K764" s="301">
        <v>0.22691441441441443</v>
      </c>
      <c r="L764" s="2">
        <v>3618</v>
      </c>
      <c r="M764" s="301">
        <v>0.11041259765625</v>
      </c>
      <c r="N764" s="2">
        <v>224.84848484848399</v>
      </c>
      <c r="O764" s="2">
        <v>3680</v>
      </c>
      <c r="P764" s="301">
        <v>0.11084003493870667</v>
      </c>
      <c r="Q764" s="14">
        <v>293.93939393939303</v>
      </c>
      <c r="R764" s="2">
        <v>4090</v>
      </c>
      <c r="S764" s="301">
        <v>0.11697077160670366</v>
      </c>
      <c r="T764" s="14">
        <v>341.21212800000001</v>
      </c>
      <c r="U764" s="301">
        <v>0.13045881702598119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1842</v>
      </c>
      <c r="B765" s="2">
        <v>732</v>
      </c>
      <c r="C765" s="301">
        <v>5.8606885508406724E-2</v>
      </c>
      <c r="D765" s="2">
        <v>144.84848484848399</v>
      </c>
      <c r="E765" s="2">
        <v>940</v>
      </c>
      <c r="F765" s="301">
        <v>7.0354015418007634E-2</v>
      </c>
      <c r="G765" s="14">
        <v>148.48484848484799</v>
      </c>
      <c r="H765" s="2">
        <v>873</v>
      </c>
      <c r="I765" s="301">
        <v>6.1173008198444401E-2</v>
      </c>
      <c r="J765" s="14">
        <v>161.21212800000001</v>
      </c>
      <c r="K765" s="301">
        <v>0.19262295081967212</v>
      </c>
      <c r="L765" s="2">
        <v>1844</v>
      </c>
      <c r="M765" s="301">
        <v>5.62744140625E-2</v>
      </c>
      <c r="N765" s="2">
        <v>183.030303030303</v>
      </c>
      <c r="O765" s="2">
        <v>1807</v>
      </c>
      <c r="P765" s="301">
        <v>5.4426071503870369E-2</v>
      </c>
      <c r="Q765" s="14">
        <v>198.78787878787799</v>
      </c>
      <c r="R765" s="2">
        <v>2109</v>
      </c>
      <c r="S765" s="301">
        <v>6.0315735285706114E-2</v>
      </c>
      <c r="T765" s="14">
        <v>226.66667200000001</v>
      </c>
      <c r="U765" s="301">
        <v>0.14370932754880694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1843</v>
      </c>
      <c r="B766" s="2">
        <v>1044</v>
      </c>
      <c r="C766" s="301">
        <v>8.3586869495596475E-2</v>
      </c>
      <c r="D766" s="2">
        <v>123.636363636363</v>
      </c>
      <c r="E766" s="2">
        <v>1233</v>
      </c>
      <c r="F766" s="301">
        <v>9.2283511713195127E-2</v>
      </c>
      <c r="G766" s="14">
        <v>153.333333333333</v>
      </c>
      <c r="H766" s="2">
        <v>1306</v>
      </c>
      <c r="I766" s="301">
        <v>9.1514259687478103E-2</v>
      </c>
      <c r="J766" s="14">
        <v>232.72728000000001</v>
      </c>
      <c r="K766" s="301">
        <v>0.25095785440613028</v>
      </c>
      <c r="L766" s="2">
        <v>1774</v>
      </c>
      <c r="M766" s="301">
        <v>5.413818359375E-2</v>
      </c>
      <c r="N766" s="2">
        <v>192.12121212121201</v>
      </c>
      <c r="O766" s="2">
        <v>1873</v>
      </c>
      <c r="P766" s="301">
        <v>5.6413963434836303E-2</v>
      </c>
      <c r="Q766" s="14">
        <v>184.84848484848399</v>
      </c>
      <c r="R766" s="2">
        <v>1981</v>
      </c>
      <c r="S766" s="301">
        <v>5.665503632099754E-2</v>
      </c>
      <c r="T766" s="14">
        <v>269.69695999999999</v>
      </c>
      <c r="U766" s="301">
        <v>0.11668545659526494</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1845</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1706</v>
      </c>
      <c r="C769" s="304"/>
      <c r="D769" s="304" t="s">
        <v>1707</v>
      </c>
      <c r="E769" s="304" t="s">
        <v>1706</v>
      </c>
      <c r="F769" s="304"/>
      <c r="G769" s="304" t="s">
        <v>1707</v>
      </c>
      <c r="H769" s="304" t="s">
        <v>1706</v>
      </c>
      <c r="I769" s="304"/>
      <c r="J769" s="304" t="s">
        <v>1707</v>
      </c>
      <c r="K769" t="s">
        <v>172</v>
      </c>
      <c r="L769" s="304" t="s">
        <v>1706</v>
      </c>
      <c r="M769" s="304"/>
      <c r="N769" s="304" t="s">
        <v>1707</v>
      </c>
      <c r="O769" s="304" t="s">
        <v>1706</v>
      </c>
      <c r="P769" s="304"/>
      <c r="Q769" s="304" t="s">
        <v>1707</v>
      </c>
      <c r="R769" s="304" t="s">
        <v>1706</v>
      </c>
      <c r="S769" s="304"/>
      <c r="T769" s="304" t="s">
        <v>1707</v>
      </c>
      <c r="U769" t="s">
        <v>172</v>
      </c>
      <c r="V769" s="207" t="s">
        <v>1706</v>
      </c>
      <c r="W769" s="207"/>
      <c r="X769" s="207" t="s">
        <v>1707</v>
      </c>
      <c r="Y769" s="207" t="s">
        <v>1706</v>
      </c>
      <c r="Z769" s="207"/>
      <c r="AA769" s="207" t="s">
        <v>1707</v>
      </c>
      <c r="AB769" s="207" t="s">
        <v>1706</v>
      </c>
      <c r="AC769" s="207"/>
      <c r="AD769" s="207" t="s">
        <v>1707</v>
      </c>
      <c r="AE769" t="s">
        <v>172</v>
      </c>
    </row>
    <row r="770" spans="1:31" x14ac:dyDescent="0.3">
      <c r="A770" t="s">
        <v>174</v>
      </c>
      <c r="B770" s="2">
        <v>12490</v>
      </c>
      <c r="C770" t="s">
        <v>172</v>
      </c>
      <c r="D770" s="2">
        <v>264.84848484848402</v>
      </c>
      <c r="E770" s="2">
        <v>13361</v>
      </c>
      <c r="F770" t="s">
        <v>172</v>
      </c>
      <c r="G770" s="14">
        <v>282.42424242424198</v>
      </c>
      <c r="H770" s="2">
        <v>14271</v>
      </c>
      <c r="I770" t="s">
        <v>172</v>
      </c>
      <c r="J770" s="14">
        <v>302.42425500000002</v>
      </c>
      <c r="K770" s="301">
        <v>0.14259407526020818</v>
      </c>
      <c r="L770" s="2">
        <v>32768</v>
      </c>
      <c r="M770" t="s">
        <v>172</v>
      </c>
      <c r="N770" s="2">
        <v>467.27272727272702</v>
      </c>
      <c r="O770" s="2">
        <v>33201</v>
      </c>
      <c r="P770" t="s">
        <v>172</v>
      </c>
      <c r="Q770" s="14">
        <v>509.09090909090901</v>
      </c>
      <c r="R770" s="2">
        <v>34966</v>
      </c>
      <c r="S770" t="s">
        <v>172</v>
      </c>
      <c r="T770" s="14">
        <v>380.60604899999998</v>
      </c>
      <c r="U770" s="301">
        <v>6.707763671875E-2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1804</v>
      </c>
      <c r="B771" s="2">
        <v>2665</v>
      </c>
      <c r="C771" s="301">
        <v>0.2133706965572458</v>
      </c>
      <c r="D771" s="2">
        <v>182.42424242424201</v>
      </c>
      <c r="E771" s="2">
        <v>3397</v>
      </c>
      <c r="F771" s="301">
        <v>0.25424743656911908</v>
      </c>
      <c r="G771" s="14">
        <v>260</v>
      </c>
      <c r="H771" s="2">
        <v>3047</v>
      </c>
      <c r="I771" s="301">
        <v>0.21350991521266904</v>
      </c>
      <c r="J771" s="14">
        <v>293.33334400000001</v>
      </c>
      <c r="K771" s="301">
        <v>0.14333958724202628</v>
      </c>
      <c r="L771" s="2">
        <v>4785</v>
      </c>
      <c r="M771" s="301">
        <v>0.146026611328125</v>
      </c>
      <c r="N771" s="2">
        <v>290.30303030303003</v>
      </c>
      <c r="O771" s="2">
        <v>6394</v>
      </c>
      <c r="P771" s="301">
        <v>0.19258456070600283</v>
      </c>
      <c r="Q771" s="14">
        <v>360</v>
      </c>
      <c r="R771" s="2">
        <v>4975</v>
      </c>
      <c r="S771" s="301">
        <v>0.14228107304238402</v>
      </c>
      <c r="T771" s="14">
        <v>381.21212800000001</v>
      </c>
      <c r="U771" s="301">
        <v>3.9707419017763847E-2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1768</v>
      </c>
      <c r="B772" s="2">
        <v>1325</v>
      </c>
      <c r="C772" s="301">
        <v>0.10608486789431545</v>
      </c>
      <c r="D772" s="2">
        <v>133.939393939393</v>
      </c>
      <c r="E772" s="2">
        <v>1277</v>
      </c>
      <c r="F772" s="301">
        <v>9.5576678392335898E-2</v>
      </c>
      <c r="G772" s="14">
        <v>150.30303030303</v>
      </c>
      <c r="H772" s="2">
        <v>1525</v>
      </c>
      <c r="I772" s="301">
        <v>0.10686006586784388</v>
      </c>
      <c r="J772" s="14">
        <v>187.878784</v>
      </c>
      <c r="K772" s="301">
        <v>0.15094339622641509</v>
      </c>
      <c r="L772" s="2">
        <v>2369</v>
      </c>
      <c r="M772" s="301">
        <v>7.2296142578125E-2</v>
      </c>
      <c r="N772" s="2">
        <v>193.939393939393</v>
      </c>
      <c r="O772" s="2">
        <v>2882</v>
      </c>
      <c r="P772" s="301">
        <v>8.6804614318845813E-2</v>
      </c>
      <c r="Q772" s="14">
        <v>224.84848484848399</v>
      </c>
      <c r="R772" s="2">
        <v>2466</v>
      </c>
      <c r="S772" s="301">
        <v>7.0525653491963616E-2</v>
      </c>
      <c r="T772" s="14">
        <v>256.96969999999999</v>
      </c>
      <c r="U772" s="301">
        <v>4.0945546644153653E-2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1846</v>
      </c>
      <c r="B773" s="2">
        <v>306</v>
      </c>
      <c r="C773" s="301">
        <v>2.4499599679743796E-2</v>
      </c>
      <c r="D773" s="2">
        <v>72.727272727272705</v>
      </c>
      <c r="E773" s="2">
        <v>342</v>
      </c>
      <c r="F773" s="301">
        <v>2.5596886460594267E-2</v>
      </c>
      <c r="G773" s="14">
        <v>78.787878787878796</v>
      </c>
      <c r="H773" s="2">
        <v>319</v>
      </c>
      <c r="I773" s="301">
        <v>2.2353023614322752E-2</v>
      </c>
      <c r="J773" s="14">
        <v>87.878784199999998</v>
      </c>
      <c r="K773" s="301">
        <v>4.2483660130718956E-2</v>
      </c>
      <c r="L773" s="2">
        <v>645</v>
      </c>
      <c r="M773" s="301">
        <v>1.9683837890625E-2</v>
      </c>
      <c r="N773" s="2">
        <v>100</v>
      </c>
      <c r="O773" s="2">
        <v>985</v>
      </c>
      <c r="P773" s="301">
        <v>2.9667781090930996E-2</v>
      </c>
      <c r="Q773" s="14">
        <v>134.54545454545399</v>
      </c>
      <c r="R773" s="2">
        <v>685</v>
      </c>
      <c r="S773" s="301">
        <v>1.9590459303323229E-2</v>
      </c>
      <c r="T773" s="14">
        <v>116.969696</v>
      </c>
      <c r="U773" s="301">
        <v>6.2015503875968991E-2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1847</v>
      </c>
      <c r="B774" s="2">
        <v>458</v>
      </c>
      <c r="C774" s="301">
        <v>3.6669335468374697E-2</v>
      </c>
      <c r="D774" s="2">
        <v>84.848484848484802</v>
      </c>
      <c r="E774" s="2">
        <v>473</v>
      </c>
      <c r="F774" s="301">
        <v>3.5401541800763416E-2</v>
      </c>
      <c r="G774" s="14">
        <v>101.212121212121</v>
      </c>
      <c r="H774" s="2">
        <v>393</v>
      </c>
      <c r="I774" s="301">
        <v>2.7538364515450914E-2</v>
      </c>
      <c r="J774" s="14">
        <v>107.272728</v>
      </c>
      <c r="K774" s="301">
        <v>-0.14192139737991266</v>
      </c>
      <c r="L774" s="2">
        <v>739</v>
      </c>
      <c r="M774" s="301">
        <v>2.2552490234375E-2</v>
      </c>
      <c r="N774" s="2">
        <v>105.454545454545</v>
      </c>
      <c r="O774" s="2">
        <v>931</v>
      </c>
      <c r="P774" s="301">
        <v>2.8041324056504321E-2</v>
      </c>
      <c r="Q774" s="14">
        <v>136.969696969696</v>
      </c>
      <c r="R774" s="2">
        <v>626</v>
      </c>
      <c r="S774" s="301">
        <v>1.7903105874277871E-2</v>
      </c>
      <c r="T774" s="14">
        <v>124.848488</v>
      </c>
      <c r="U774" s="301">
        <v>-0.15290933694181327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1848</v>
      </c>
      <c r="B775" s="2">
        <v>400</v>
      </c>
      <c r="C775" s="301">
        <v>3.2025620496397116E-2</v>
      </c>
      <c r="D775" s="2">
        <v>97.575757575757606</v>
      </c>
      <c r="E775" s="2">
        <v>459</v>
      </c>
      <c r="F775" s="301">
        <v>3.4353716039218621E-2</v>
      </c>
      <c r="G775" s="14">
        <v>93.939393939393895</v>
      </c>
      <c r="H775" s="2">
        <v>714</v>
      </c>
      <c r="I775" s="301">
        <v>5.0031532478452809E-2</v>
      </c>
      <c r="J775" s="14">
        <v>161.81817599999999</v>
      </c>
      <c r="K775" s="301">
        <v>0.78500000000000003</v>
      </c>
      <c r="L775" s="2">
        <v>751</v>
      </c>
      <c r="M775" s="301">
        <v>2.2918701171875E-2</v>
      </c>
      <c r="N775" s="2">
        <v>150.90909090909</v>
      </c>
      <c r="O775" s="2">
        <v>886</v>
      </c>
      <c r="P775" s="301">
        <v>2.6685943194482094E-2</v>
      </c>
      <c r="Q775" s="14">
        <v>133.939393939393</v>
      </c>
      <c r="R775" s="2">
        <v>1032</v>
      </c>
      <c r="S775" s="301">
        <v>2.9514385402962879E-2</v>
      </c>
      <c r="T775" s="14">
        <v>201.21212800000001</v>
      </c>
      <c r="U775" s="301">
        <v>0.37416777629826897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1849</v>
      </c>
      <c r="B776" s="2">
        <v>161</v>
      </c>
      <c r="C776" s="301">
        <v>1.289031224979984E-2</v>
      </c>
      <c r="D776" s="2">
        <v>63.030303030303003</v>
      </c>
      <c r="E776" s="2">
        <v>3</v>
      </c>
      <c r="F776" s="301">
        <v>2.2453409175959884E-4</v>
      </c>
      <c r="G776" s="14">
        <v>4.8484848484848397</v>
      </c>
      <c r="H776" s="2">
        <v>99</v>
      </c>
      <c r="I776" s="301">
        <v>6.9371452596174062E-3</v>
      </c>
      <c r="J776" s="14">
        <v>44.848483999999999</v>
      </c>
      <c r="K776" s="301">
        <v>-0.38509316770186336</v>
      </c>
      <c r="L776" s="2">
        <v>234</v>
      </c>
      <c r="M776" s="301">
        <v>7.14111328125E-3</v>
      </c>
      <c r="N776" s="2">
        <v>71.515151515151501</v>
      </c>
      <c r="O776" s="2">
        <v>80</v>
      </c>
      <c r="P776" s="301">
        <v>2.4095659769284056E-3</v>
      </c>
      <c r="Q776" s="14">
        <v>41.818181818181799</v>
      </c>
      <c r="R776" s="2">
        <v>123</v>
      </c>
      <c r="S776" s="301">
        <v>3.5177029113996456E-3</v>
      </c>
      <c r="T776" s="14">
        <v>47.878788</v>
      </c>
      <c r="U776" s="301">
        <v>-0.47435897435897434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1844</v>
      </c>
      <c r="B777" s="2">
        <v>1340</v>
      </c>
      <c r="C777" s="301">
        <v>0.10728582866293035</v>
      </c>
      <c r="D777" s="2">
        <v>137.575757575757</v>
      </c>
      <c r="E777" s="2">
        <v>2120</v>
      </c>
      <c r="F777" s="301">
        <v>0.15867075817678317</v>
      </c>
      <c r="G777" s="14">
        <v>205.45454545454501</v>
      </c>
      <c r="H777" s="2">
        <v>1522</v>
      </c>
      <c r="I777" s="301">
        <v>0.10664984934482517</v>
      </c>
      <c r="J777" s="14">
        <v>231.515152</v>
      </c>
      <c r="K777" s="301">
        <v>0.13582089552238805</v>
      </c>
      <c r="L777" s="2">
        <v>2416</v>
      </c>
      <c r="M777" s="301">
        <v>7.373046875E-2</v>
      </c>
      <c r="N777" s="2">
        <v>223.636363636363</v>
      </c>
      <c r="O777" s="2">
        <v>3512</v>
      </c>
      <c r="P777" s="301">
        <v>0.10577994638715701</v>
      </c>
      <c r="Q777" s="14">
        <v>284.84848484848402</v>
      </c>
      <c r="R777" s="2">
        <v>2509</v>
      </c>
      <c r="S777" s="301">
        <v>7.1755419550420405E-2</v>
      </c>
      <c r="T777" s="14">
        <v>292.72726399999999</v>
      </c>
      <c r="U777" s="301">
        <v>3.8493377483443711E-2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1770</v>
      </c>
      <c r="B778" s="2">
        <v>94</v>
      </c>
      <c r="C778" s="301">
        <v>7.5260208166533227E-3</v>
      </c>
      <c r="D778" s="2">
        <v>49.090909090909101</v>
      </c>
      <c r="E778" s="2">
        <v>377</v>
      </c>
      <c r="F778" s="301">
        <v>2.8216450864456254E-2</v>
      </c>
      <c r="G778" s="14">
        <v>96.363636363636402</v>
      </c>
      <c r="H778" s="2">
        <v>350</v>
      </c>
      <c r="I778" s="301">
        <v>2.4525261018849415E-2</v>
      </c>
      <c r="J778" s="14">
        <v>93.333335899999994</v>
      </c>
      <c r="K778" s="301">
        <v>2.7234042553191489</v>
      </c>
      <c r="L778" s="2">
        <v>362</v>
      </c>
      <c r="M778" s="301">
        <v>1.104736328125E-2</v>
      </c>
      <c r="N778" s="2">
        <v>97.575757575757606</v>
      </c>
      <c r="O778" s="2">
        <v>764</v>
      </c>
      <c r="P778" s="301">
        <v>2.3011355079666274E-2</v>
      </c>
      <c r="Q778" s="14">
        <v>128.48484848484799</v>
      </c>
      <c r="R778" s="2">
        <v>578</v>
      </c>
      <c r="S778" s="301">
        <v>1.6530343762512154E-2</v>
      </c>
      <c r="T778" s="14">
        <v>126.666664</v>
      </c>
      <c r="U778" s="301">
        <v>0.59668508287292821</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1846</v>
      </c>
      <c r="B779" s="2">
        <v>29</v>
      </c>
      <c r="C779" s="301">
        <v>2.321857485988791E-3</v>
      </c>
      <c r="D779" s="2">
        <v>20</v>
      </c>
      <c r="E779" s="2">
        <v>39</v>
      </c>
      <c r="F779" s="301">
        <v>2.918943192874785E-3</v>
      </c>
      <c r="G779" s="14">
        <v>27.878787878787801</v>
      </c>
      <c r="H779" s="2">
        <v>82</v>
      </c>
      <c r="I779" s="301">
        <v>5.7459182958447203E-3</v>
      </c>
      <c r="J779" s="14">
        <v>34.5454559</v>
      </c>
      <c r="K779" s="301">
        <v>1.8275862068965518</v>
      </c>
      <c r="L779" s="2">
        <v>103</v>
      </c>
      <c r="M779" s="301">
        <v>3.143310546875E-3</v>
      </c>
      <c r="N779" s="2">
        <v>43.636363636363598</v>
      </c>
      <c r="O779" s="2">
        <v>137</v>
      </c>
      <c r="P779" s="301">
        <v>4.1263817354898948E-3</v>
      </c>
      <c r="Q779" s="14">
        <v>47.272727272727202</v>
      </c>
      <c r="R779" s="2">
        <v>224</v>
      </c>
      <c r="S779" s="301">
        <v>6.4062231882400043E-3</v>
      </c>
      <c r="T779" s="14">
        <v>61.212119999999999</v>
      </c>
      <c r="U779" s="301">
        <v>1.174757281553398</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1847</v>
      </c>
      <c r="B780" s="2">
        <v>41</v>
      </c>
      <c r="C780" s="301">
        <v>3.2826261008807047E-3</v>
      </c>
      <c r="D780" s="2">
        <v>38.181818181818102</v>
      </c>
      <c r="E780" s="2">
        <v>121</v>
      </c>
      <c r="F780" s="301">
        <v>9.056208367637153E-3</v>
      </c>
      <c r="G780" s="14">
        <v>39.393939393939398</v>
      </c>
      <c r="H780" s="2">
        <v>123</v>
      </c>
      <c r="I780" s="301">
        <v>8.6188774437670809E-3</v>
      </c>
      <c r="J780" s="14">
        <v>63.636364</v>
      </c>
      <c r="K780" s="301">
        <v>2</v>
      </c>
      <c r="L780" s="2">
        <v>74</v>
      </c>
      <c r="M780" s="301">
        <v>2.25830078125E-3</v>
      </c>
      <c r="N780" s="2">
        <v>46.6666666666666</v>
      </c>
      <c r="O780" s="2">
        <v>381</v>
      </c>
      <c r="P780" s="301">
        <v>1.1475557965121532E-2</v>
      </c>
      <c r="Q780" s="14">
        <v>91.515151515151501</v>
      </c>
      <c r="R780" s="2">
        <v>191</v>
      </c>
      <c r="S780" s="301">
        <v>5.4624492364010752E-3</v>
      </c>
      <c r="T780" s="14">
        <v>78.787880000000001</v>
      </c>
      <c r="U780" s="301">
        <v>1.5810810810810811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1848</v>
      </c>
      <c r="B781" s="2">
        <v>24</v>
      </c>
      <c r="C781" s="301">
        <v>1.921537229783827E-3</v>
      </c>
      <c r="D781" s="2">
        <v>23.030303030302999</v>
      </c>
      <c r="E781" s="2">
        <v>217</v>
      </c>
      <c r="F781" s="301">
        <v>1.6241299303944315E-2</v>
      </c>
      <c r="G781" s="14">
        <v>82.424242424242394</v>
      </c>
      <c r="H781" s="2">
        <v>119</v>
      </c>
      <c r="I781" s="301">
        <v>8.3385887464088003E-3</v>
      </c>
      <c r="J781" s="14">
        <v>63.636364</v>
      </c>
      <c r="K781" s="301">
        <v>3.9583333333333335</v>
      </c>
      <c r="L781" s="2">
        <v>139</v>
      </c>
      <c r="M781" s="301">
        <v>4.241943359375E-3</v>
      </c>
      <c r="N781" s="2">
        <v>60</v>
      </c>
      <c r="O781" s="2">
        <v>217</v>
      </c>
      <c r="P781" s="301">
        <v>6.5359477124183009E-3</v>
      </c>
      <c r="Q781" s="14">
        <v>82.424242424242394</v>
      </c>
      <c r="R781" s="2">
        <v>126</v>
      </c>
      <c r="S781" s="301">
        <v>3.6035005433850027E-3</v>
      </c>
      <c r="T781" s="14">
        <v>63.636364</v>
      </c>
      <c r="U781" s="301">
        <v>-9.3525179856115109E-2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1849</v>
      </c>
      <c r="B782" s="2">
        <v>0</v>
      </c>
      <c r="C782" s="301">
        <v>0</v>
      </c>
      <c r="D782" s="2">
        <v>80</v>
      </c>
      <c r="E782" s="2">
        <v>0</v>
      </c>
      <c r="F782" s="301">
        <v>0</v>
      </c>
      <c r="G782" s="14">
        <v>16.969696969696901</v>
      </c>
      <c r="H782" s="2">
        <v>26</v>
      </c>
      <c r="I782" s="301">
        <v>1.8218765328288137E-3</v>
      </c>
      <c r="J782" s="14">
        <v>20.606059999999999</v>
      </c>
      <c r="L782" s="2">
        <v>46</v>
      </c>
      <c r="M782" s="301">
        <v>1.40380859375E-3</v>
      </c>
      <c r="N782" s="2">
        <v>32.727272727272698</v>
      </c>
      <c r="O782" s="2">
        <v>29</v>
      </c>
      <c r="P782" s="301">
        <v>8.7346766663654713E-4</v>
      </c>
      <c r="Q782" s="14">
        <v>14.545454545454501</v>
      </c>
      <c r="R782" s="2">
        <v>37</v>
      </c>
      <c r="S782" s="301">
        <v>1.0581707944860722E-3</v>
      </c>
      <c r="T782" s="14">
        <v>23.030304000000001</v>
      </c>
      <c r="U782" s="301">
        <v>-0.19565217391304349</v>
      </c>
      <c r="V782" s="2">
        <v>2293</v>
      </c>
      <c r="W782" s="27">
        <v>0</v>
      </c>
      <c r="X782" s="2">
        <v>238</v>
      </c>
      <c r="Y782" s="2">
        <v>2652</v>
      </c>
      <c r="Z782" s="27">
        <v>0</v>
      </c>
      <c r="AA782" s="14">
        <v>271.52</v>
      </c>
      <c r="AB782" s="2">
        <v>1458</v>
      </c>
      <c r="AC782" s="27">
        <v>0</v>
      </c>
      <c r="AD782" s="14">
        <v>188.48</v>
      </c>
      <c r="AE782" s="27">
        <v>-0.36399999999999999</v>
      </c>
    </row>
    <row r="783" spans="1:31" x14ac:dyDescent="0.3">
      <c r="A783" t="s">
        <v>1771</v>
      </c>
      <c r="B783" s="2">
        <v>1246</v>
      </c>
      <c r="C783" s="301">
        <v>9.9759807846277027E-2</v>
      </c>
      <c r="D783" s="2">
        <v>128.48484848484799</v>
      </c>
      <c r="E783" s="2">
        <v>1743</v>
      </c>
      <c r="F783" s="301">
        <v>0.13045430731232693</v>
      </c>
      <c r="G783" s="14">
        <v>173.333333333333</v>
      </c>
      <c r="H783" s="2">
        <v>1172</v>
      </c>
      <c r="I783" s="301">
        <v>8.2124588325975759E-2</v>
      </c>
      <c r="J783" s="14">
        <v>201.21212800000001</v>
      </c>
      <c r="K783" s="301">
        <v>-5.93900481540931E-2</v>
      </c>
      <c r="L783" s="2">
        <v>2054</v>
      </c>
      <c r="M783" s="301">
        <v>6.268310546875E-2</v>
      </c>
      <c r="N783" s="2">
        <v>192.12121212121201</v>
      </c>
      <c r="O783" s="2">
        <v>2748</v>
      </c>
      <c r="P783" s="301">
        <v>8.2768591307490744E-2</v>
      </c>
      <c r="Q783" s="14">
        <v>252.72727272727201</v>
      </c>
      <c r="R783" s="2">
        <v>1931</v>
      </c>
      <c r="S783" s="301">
        <v>5.5225075787908251E-2</v>
      </c>
      <c r="T783" s="14">
        <v>249.090912</v>
      </c>
      <c r="U783" s="301">
        <v>-5.9883154819863678E-2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1846</v>
      </c>
      <c r="B784" s="2">
        <v>187</v>
      </c>
      <c r="C784" s="301">
        <v>1.4971977582065652E-2</v>
      </c>
      <c r="D784" s="2">
        <v>49.090909090909101</v>
      </c>
      <c r="E784" s="2">
        <v>112</v>
      </c>
      <c r="F784" s="301">
        <v>8.3826060923583561E-3</v>
      </c>
      <c r="G784" s="14">
        <v>42.424242424242401</v>
      </c>
      <c r="H784" s="2">
        <v>382</v>
      </c>
      <c r="I784" s="301">
        <v>2.6767570597715649E-2</v>
      </c>
      <c r="J784" s="14">
        <v>141.21212800000001</v>
      </c>
      <c r="K784" s="301">
        <v>1.0427807486631016</v>
      </c>
      <c r="L784" s="2">
        <v>370</v>
      </c>
      <c r="M784" s="301">
        <v>1.129150390625E-2</v>
      </c>
      <c r="N784" s="2">
        <v>80</v>
      </c>
      <c r="O784" s="2">
        <v>339</v>
      </c>
      <c r="P784" s="301">
        <v>1.0210535827234119E-2</v>
      </c>
      <c r="Q784" s="14">
        <v>81.818181818181799</v>
      </c>
      <c r="R784" s="2">
        <v>471</v>
      </c>
      <c r="S784" s="301">
        <v>1.3470228221701082E-2</v>
      </c>
      <c r="T784" s="14">
        <v>142.42424</v>
      </c>
      <c r="U784" s="301">
        <v>0.27297297297297296</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1847</v>
      </c>
      <c r="B785" s="2">
        <v>616</v>
      </c>
      <c r="C785" s="301">
        <v>4.931945556445156E-2</v>
      </c>
      <c r="D785" s="2">
        <v>95.151515151515099</v>
      </c>
      <c r="E785" s="2">
        <v>982</v>
      </c>
      <c r="F785" s="301">
        <v>7.3497492702642012E-2</v>
      </c>
      <c r="G785" s="2">
        <v>129.69696969696901</v>
      </c>
      <c r="H785" s="2">
        <v>410</v>
      </c>
      <c r="I785" s="301">
        <v>2.8729591479223601E-2</v>
      </c>
      <c r="J785" s="14">
        <v>80.606063800000001</v>
      </c>
      <c r="K785" s="301">
        <v>-0.33441558441558439</v>
      </c>
      <c r="L785" s="2">
        <v>1082</v>
      </c>
      <c r="M785" s="301">
        <v>3.302001953125E-2</v>
      </c>
      <c r="N785" s="2">
        <v>149.09090909090901</v>
      </c>
      <c r="O785" s="2">
        <v>1403</v>
      </c>
      <c r="P785" s="301">
        <v>4.2257763320381919E-2</v>
      </c>
      <c r="Q785" s="2">
        <v>176.363636363636</v>
      </c>
      <c r="R785" s="2">
        <v>738</v>
      </c>
      <c r="S785" s="301">
        <v>2.1106217468397873E-2</v>
      </c>
      <c r="T785" s="14">
        <v>114.545456</v>
      </c>
      <c r="U785" s="301">
        <v>-0.31792975970425141</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1848</v>
      </c>
      <c r="B786" s="2">
        <v>381</v>
      </c>
      <c r="C786" s="301">
        <v>3.0504403522818253E-2</v>
      </c>
      <c r="D786" s="2">
        <v>72.727272727272705</v>
      </c>
      <c r="E786" s="2">
        <v>609</v>
      </c>
      <c r="F786" s="301">
        <v>4.558042062719856E-2</v>
      </c>
      <c r="G786" s="14">
        <v>133.939393939393</v>
      </c>
      <c r="H786" s="2">
        <v>312</v>
      </c>
      <c r="I786" s="301">
        <v>2.1862518393945766E-2</v>
      </c>
      <c r="J786" s="14">
        <v>119.393936</v>
      </c>
      <c r="K786" s="301">
        <v>-0.18110236220472442</v>
      </c>
      <c r="L786" s="2">
        <v>508</v>
      </c>
      <c r="M786" s="301">
        <v>1.55029296875E-2</v>
      </c>
      <c r="N786" s="2">
        <v>86.060606060606005</v>
      </c>
      <c r="O786" s="2">
        <v>953</v>
      </c>
      <c r="P786" s="301">
        <v>2.8703954700159635E-2</v>
      </c>
      <c r="Q786" s="14">
        <v>173.333333333333</v>
      </c>
      <c r="R786" s="2">
        <v>654</v>
      </c>
      <c r="S786" s="301">
        <v>1.8703883772807871E-2</v>
      </c>
      <c r="T786" s="14">
        <v>152.121216</v>
      </c>
      <c r="U786" s="301">
        <v>0.2874015748031496</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1849</v>
      </c>
      <c r="B787" s="2">
        <v>62</v>
      </c>
      <c r="C787" s="301">
        <v>4.9639711769415536E-3</v>
      </c>
      <c r="D787" s="2">
        <v>37.5757575757575</v>
      </c>
      <c r="E787" s="2">
        <v>40</v>
      </c>
      <c r="F787" s="301">
        <v>2.9937878901279843E-3</v>
      </c>
      <c r="G787" s="14">
        <v>30.909090909090899</v>
      </c>
      <c r="H787" s="2">
        <v>68</v>
      </c>
      <c r="I787" s="301">
        <v>4.7649078550907435E-3</v>
      </c>
      <c r="J787" s="14">
        <v>33.939392099999999</v>
      </c>
      <c r="K787" s="301">
        <v>9.6774193548387094E-2</v>
      </c>
      <c r="L787" s="2">
        <v>94</v>
      </c>
      <c r="M787" s="301">
        <v>2.86865234375E-3</v>
      </c>
      <c r="N787" s="2">
        <v>44.2424242424242</v>
      </c>
      <c r="O787" s="2">
        <v>53</v>
      </c>
      <c r="P787" s="301">
        <v>1.5963374597150687E-3</v>
      </c>
      <c r="Q787" s="14">
        <v>33.3333333333333</v>
      </c>
      <c r="R787" s="2">
        <v>68</v>
      </c>
      <c r="S787" s="301">
        <v>1.9447463250014299E-3</v>
      </c>
      <c r="T787" s="14">
        <v>33.939392099999999</v>
      </c>
      <c r="U787" s="301">
        <v>-0.27659574468085107</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1820</v>
      </c>
      <c r="B788" s="2">
        <v>9825</v>
      </c>
      <c r="C788" s="301">
        <v>0.78662930344275417</v>
      </c>
      <c r="D788" s="2">
        <v>262.42424242424198</v>
      </c>
      <c r="E788" s="2">
        <v>9964</v>
      </c>
      <c r="F788" s="301">
        <v>0.74575256343088092</v>
      </c>
      <c r="G788" s="14">
        <v>328.48484848484799</v>
      </c>
      <c r="H788" s="2">
        <v>11224</v>
      </c>
      <c r="I788" s="301">
        <v>0.78649008478733096</v>
      </c>
      <c r="J788" s="14">
        <v>446.06060000000002</v>
      </c>
      <c r="K788" s="301">
        <v>0.14239185750636132</v>
      </c>
      <c r="L788" s="2">
        <v>27983</v>
      </c>
      <c r="M788" s="301">
        <v>0.853973388671875</v>
      </c>
      <c r="N788" s="2">
        <v>440.60606060606</v>
      </c>
      <c r="O788" s="2">
        <v>26807</v>
      </c>
      <c r="P788" s="301">
        <v>0.80741543929399717</v>
      </c>
      <c r="Q788" s="14">
        <v>533.93939393939399</v>
      </c>
      <c r="R788" s="2">
        <v>29991</v>
      </c>
      <c r="S788" s="301">
        <v>0.85771892695761598</v>
      </c>
      <c r="T788" s="14">
        <v>515.75756799999999</v>
      </c>
      <c r="U788" s="301">
        <v>7.1757852982167747E-2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1850</v>
      </c>
      <c r="B789" s="2">
        <v>6921</v>
      </c>
      <c r="C789" s="301">
        <v>0.55412329863891108</v>
      </c>
      <c r="D789" s="2">
        <v>246.666666666666</v>
      </c>
      <c r="E789" s="2">
        <v>6935</v>
      </c>
      <c r="F789" s="301">
        <v>0.51904797545093928</v>
      </c>
      <c r="G789" s="14">
        <v>286.666666666666</v>
      </c>
      <c r="H789" s="2">
        <v>8081</v>
      </c>
      <c r="I789" s="301">
        <v>0.56625324083806317</v>
      </c>
      <c r="J789" s="14">
        <v>401.81817599999999</v>
      </c>
      <c r="K789" s="301">
        <v>0.16760583730674758</v>
      </c>
      <c r="L789" s="2">
        <v>22106</v>
      </c>
      <c r="M789" s="301">
        <v>0.67462158203125</v>
      </c>
      <c r="N789" s="2">
        <v>469.69696969696901</v>
      </c>
      <c r="O789" s="2">
        <v>21319</v>
      </c>
      <c r="P789" s="301">
        <v>0.64211921327670851</v>
      </c>
      <c r="Q789" s="14">
        <v>509.69696969696901</v>
      </c>
      <c r="R789" s="2">
        <v>23629</v>
      </c>
      <c r="S789" s="301">
        <v>0.67577074872733511</v>
      </c>
      <c r="T789" s="14">
        <v>496.36364700000001</v>
      </c>
      <c r="U789" s="301">
        <v>6.8895322536867823E-2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1846</v>
      </c>
      <c r="B790" s="2">
        <v>2951</v>
      </c>
      <c r="C790" s="301">
        <v>0.23626901521216973</v>
      </c>
      <c r="D790" s="2">
        <v>212.72727272727201</v>
      </c>
      <c r="E790" s="2">
        <v>3307</v>
      </c>
      <c r="F790" s="301">
        <v>0.2475114138163311</v>
      </c>
      <c r="G790" s="14">
        <v>199.39393939393901</v>
      </c>
      <c r="H790" s="2">
        <v>3711</v>
      </c>
      <c r="I790" s="301">
        <v>0.26003783897414334</v>
      </c>
      <c r="J790" s="14">
        <v>321.21212800000001</v>
      </c>
      <c r="K790" s="301">
        <v>0.25753981701118267</v>
      </c>
      <c r="L790" s="2">
        <v>12278</v>
      </c>
      <c r="M790" s="301">
        <v>0.37469482421875</v>
      </c>
      <c r="N790" s="2">
        <v>355.15151515151501</v>
      </c>
      <c r="O790" s="2">
        <v>12848</v>
      </c>
      <c r="P790" s="301">
        <v>0.38697629589470195</v>
      </c>
      <c r="Q790" s="14">
        <v>350.30303030303003</v>
      </c>
      <c r="R790" s="2">
        <v>13946</v>
      </c>
      <c r="S790" s="301">
        <v>0.39884459188926386</v>
      </c>
      <c r="T790" s="14">
        <v>404.84848</v>
      </c>
      <c r="U790" s="301">
        <v>0.13585274474670142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1847</v>
      </c>
      <c r="B791" s="2">
        <v>2852</v>
      </c>
      <c r="C791" s="301">
        <v>0.22834267413931145</v>
      </c>
      <c r="D791" s="2">
        <v>205.45454545454501</v>
      </c>
      <c r="E791" s="2">
        <v>2563</v>
      </c>
      <c r="F791" s="301">
        <v>0.19182695905995059</v>
      </c>
      <c r="G791" s="14">
        <v>229.09090909090901</v>
      </c>
      <c r="H791" s="2">
        <v>3109</v>
      </c>
      <c r="I791" s="301">
        <v>0.21785439002172238</v>
      </c>
      <c r="J791" s="14">
        <v>264.24243200000001</v>
      </c>
      <c r="K791" s="301">
        <v>9.0112201963534366E-2</v>
      </c>
      <c r="L791" s="2">
        <v>7222</v>
      </c>
      <c r="M791" s="301">
        <v>0.22039794921875</v>
      </c>
      <c r="N791" s="2">
        <v>346.666666666666</v>
      </c>
      <c r="O791" s="2">
        <v>5787</v>
      </c>
      <c r="P791" s="301">
        <v>0.17430197885605855</v>
      </c>
      <c r="Q791" s="14">
        <v>326.666666666666</v>
      </c>
      <c r="R791" s="2">
        <v>6623</v>
      </c>
      <c r="S791" s="301">
        <v>0.18941257221300692</v>
      </c>
      <c r="T791" s="14">
        <v>353.93939999999998</v>
      </c>
      <c r="U791" s="301">
        <v>-8.2941013569648295E-2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1848</v>
      </c>
      <c r="B792" s="2">
        <v>999</v>
      </c>
      <c r="C792" s="301">
        <v>7.9983987189751804E-2</v>
      </c>
      <c r="D792" s="2">
        <v>132.12121212121201</v>
      </c>
      <c r="E792" s="2">
        <v>1011</v>
      </c>
      <c r="F792" s="301">
        <v>7.5667988922984805E-2</v>
      </c>
      <c r="G792" s="14">
        <v>151.51515151515099</v>
      </c>
      <c r="H792" s="2">
        <v>1139</v>
      </c>
      <c r="I792" s="301">
        <v>7.9812206572769953E-2</v>
      </c>
      <c r="J792" s="14">
        <v>181.21212800000001</v>
      </c>
      <c r="K792" s="301">
        <v>0.14014014014014015</v>
      </c>
      <c r="L792" s="2">
        <v>2362</v>
      </c>
      <c r="M792" s="301">
        <v>7.208251953125E-2</v>
      </c>
      <c r="N792" s="2">
        <v>195.15151515151501</v>
      </c>
      <c r="O792" s="2">
        <v>2473</v>
      </c>
      <c r="P792" s="301">
        <v>7.4485708261799344E-2</v>
      </c>
      <c r="Q792" s="14">
        <v>201.81818181818099</v>
      </c>
      <c r="R792" s="2">
        <v>2780</v>
      </c>
      <c r="S792" s="301">
        <v>7.9505805639764338E-2</v>
      </c>
      <c r="T792" s="14">
        <v>272.121216</v>
      </c>
      <c r="U792" s="301">
        <v>0.17696867061812024</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1849</v>
      </c>
      <c r="B793" s="2">
        <v>119</v>
      </c>
      <c r="C793" s="301">
        <v>9.5276220976781428E-3</v>
      </c>
      <c r="D793" s="2">
        <v>53.3333333333333</v>
      </c>
      <c r="E793" s="2">
        <v>54</v>
      </c>
      <c r="F793" s="301">
        <v>4.0416136516727786E-3</v>
      </c>
      <c r="G793" s="14">
        <v>36.969696969696898</v>
      </c>
      <c r="H793" s="2">
        <v>122</v>
      </c>
      <c r="I793" s="301">
        <v>8.5488052694275111E-3</v>
      </c>
      <c r="J793" s="14">
        <v>60</v>
      </c>
      <c r="K793" s="301">
        <v>2.5210084033613446E-2</v>
      </c>
      <c r="L793" s="2">
        <v>244</v>
      </c>
      <c r="M793" s="301">
        <v>7.4462890625E-3</v>
      </c>
      <c r="N793" s="2">
        <v>70.909090909090907</v>
      </c>
      <c r="O793" s="2">
        <v>211</v>
      </c>
      <c r="P793" s="301">
        <v>6.3552302641486699E-3</v>
      </c>
      <c r="Q793" s="14">
        <v>64.242424242424207</v>
      </c>
      <c r="R793" s="2">
        <v>280</v>
      </c>
      <c r="S793" s="301">
        <v>8.0077789853000049E-3</v>
      </c>
      <c r="T793" s="14">
        <v>93.333335899999994</v>
      </c>
      <c r="U793" s="301">
        <v>0.14754098360655737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1844</v>
      </c>
      <c r="B794" s="2">
        <v>2904</v>
      </c>
      <c r="C794" s="301">
        <v>0.23250600480384306</v>
      </c>
      <c r="D794" s="2">
        <v>243.636363636363</v>
      </c>
      <c r="E794" s="2">
        <v>3029</v>
      </c>
      <c r="F794" s="301">
        <v>0.22670458797994161</v>
      </c>
      <c r="G794" s="14">
        <v>238.78787878787799</v>
      </c>
      <c r="H794" s="2">
        <v>3143</v>
      </c>
      <c r="I794" s="301">
        <v>0.22023684394926774</v>
      </c>
      <c r="J794" s="14">
        <v>316.36364700000001</v>
      </c>
      <c r="K794" s="301">
        <v>8.2300275482093663E-2</v>
      </c>
      <c r="L794" s="2">
        <v>5877</v>
      </c>
      <c r="M794" s="301">
        <v>0.179351806640625</v>
      </c>
      <c r="N794" s="2">
        <v>345.45454545454498</v>
      </c>
      <c r="O794" s="2">
        <v>5488</v>
      </c>
      <c r="P794" s="301">
        <v>0.16529622601728863</v>
      </c>
      <c r="Q794" s="14">
        <v>350.90909090909003</v>
      </c>
      <c r="R794" s="2">
        <v>6362</v>
      </c>
      <c r="S794" s="301">
        <v>0.18194817823028084</v>
      </c>
      <c r="T794" s="14">
        <v>443.63635299999999</v>
      </c>
      <c r="U794" s="301">
        <v>8.2525097839033515E-2</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1770</v>
      </c>
      <c r="B795" s="2">
        <v>1128</v>
      </c>
      <c r="C795" s="301">
        <v>9.0312249799839872E-2</v>
      </c>
      <c r="D795" s="2">
        <v>143.636363636363</v>
      </c>
      <c r="E795" s="2">
        <v>856</v>
      </c>
      <c r="F795" s="301">
        <v>6.4067060848738866E-2</v>
      </c>
      <c r="G795" s="14">
        <v>135.75757575757501</v>
      </c>
      <c r="H795" s="2">
        <v>964</v>
      </c>
      <c r="I795" s="301">
        <v>6.7549576063345246E-2</v>
      </c>
      <c r="J795" s="14">
        <v>149.090912</v>
      </c>
      <c r="K795" s="301">
        <v>-0.1453900709219858</v>
      </c>
      <c r="L795" s="2">
        <v>2259</v>
      </c>
      <c r="M795" s="301">
        <v>6.8939208984375E-2</v>
      </c>
      <c r="N795" s="2">
        <v>229.09090909090901</v>
      </c>
      <c r="O795" s="2">
        <v>1808</v>
      </c>
      <c r="P795" s="301">
        <v>5.4456191078581968E-2</v>
      </c>
      <c r="Q795" s="14">
        <v>196.363636363636</v>
      </c>
      <c r="R795" s="2">
        <v>2272</v>
      </c>
      <c r="S795" s="301">
        <v>6.4977406623577191E-2</v>
      </c>
      <c r="T795" s="14">
        <v>204.24243200000001</v>
      </c>
      <c r="U795" s="301">
        <v>5.754758742806552E-3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1846</v>
      </c>
      <c r="B796" s="2">
        <v>552</v>
      </c>
      <c r="C796" s="301">
        <v>4.419535628502802E-2</v>
      </c>
      <c r="D796" s="2">
        <v>125.454545454545</v>
      </c>
      <c r="E796" s="2">
        <v>503</v>
      </c>
      <c r="F796" s="301">
        <v>3.7646882718359406E-2</v>
      </c>
      <c r="G796" s="14">
        <v>102.424242424242</v>
      </c>
      <c r="H796" s="2">
        <v>491</v>
      </c>
      <c r="I796" s="301">
        <v>3.4405437600728749E-2</v>
      </c>
      <c r="J796" s="14">
        <v>104.242424</v>
      </c>
      <c r="K796" s="301">
        <v>-0.1105072463768116</v>
      </c>
      <c r="L796" s="2">
        <v>1216</v>
      </c>
      <c r="M796" s="301">
        <v>3.7109375E-2</v>
      </c>
      <c r="N796" s="2">
        <v>179.39393939393901</v>
      </c>
      <c r="O796" s="2">
        <v>1116</v>
      </c>
      <c r="P796" s="301">
        <v>3.3613445378151259E-2</v>
      </c>
      <c r="Q796" s="14">
        <v>143.030303030303</v>
      </c>
      <c r="R796" s="2">
        <v>1244</v>
      </c>
      <c r="S796" s="301">
        <v>3.5577418063261451E-2</v>
      </c>
      <c r="T796" s="14">
        <v>153.939392</v>
      </c>
      <c r="U796" s="301">
        <v>2.3026315789473683E-2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1847</v>
      </c>
      <c r="B797" s="2">
        <v>457</v>
      </c>
      <c r="C797" s="301">
        <v>3.6589271417133709E-2</v>
      </c>
      <c r="D797" s="2">
        <v>92.727272727272705</v>
      </c>
      <c r="E797" s="2">
        <v>298</v>
      </c>
      <c r="F797" s="301">
        <v>2.2303719781453485E-2</v>
      </c>
      <c r="G797" s="14">
        <v>79.393939393939405</v>
      </c>
      <c r="H797" s="2">
        <v>360</v>
      </c>
      <c r="I797" s="301">
        <v>2.5225982762245112E-2</v>
      </c>
      <c r="J797" s="14">
        <v>107.272728</v>
      </c>
      <c r="K797" s="301">
        <v>-0.21225382932166301</v>
      </c>
      <c r="L797" s="2">
        <v>844</v>
      </c>
      <c r="M797" s="301">
        <v>2.57568359375E-2</v>
      </c>
      <c r="N797" s="2">
        <v>129.69696969696901</v>
      </c>
      <c r="O797" s="2">
        <v>612</v>
      </c>
      <c r="P797" s="301">
        <v>1.8433179723502304E-2</v>
      </c>
      <c r="Q797" s="14">
        <v>109.09090909090899</v>
      </c>
      <c r="R797" s="2">
        <v>805</v>
      </c>
      <c r="S797" s="301">
        <v>2.3022364582737518E-2</v>
      </c>
      <c r="T797" s="14">
        <v>146.060608</v>
      </c>
      <c r="U797" s="301">
        <v>-4.6208530805687202E-2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1848</v>
      </c>
      <c r="B798" s="2">
        <v>119</v>
      </c>
      <c r="C798" s="301">
        <v>9.5276220976781428E-3</v>
      </c>
      <c r="D798" s="2">
        <v>41.212121212121197</v>
      </c>
      <c r="E798" s="2">
        <v>55</v>
      </c>
      <c r="F798" s="301">
        <v>4.1164583489259783E-3</v>
      </c>
      <c r="G798" s="14">
        <v>39.393939393939398</v>
      </c>
      <c r="H798" s="2">
        <v>64</v>
      </c>
      <c r="I798" s="301">
        <v>4.4846191577324647E-3</v>
      </c>
      <c r="J798" s="14">
        <v>41.212119999999999</v>
      </c>
      <c r="K798" s="301">
        <v>-0.46218487394957986</v>
      </c>
      <c r="L798" s="2">
        <v>199</v>
      </c>
      <c r="M798" s="301">
        <v>6.072998046875E-3</v>
      </c>
      <c r="N798" s="2">
        <v>64.848484848484802</v>
      </c>
      <c r="O798" s="2">
        <v>80</v>
      </c>
      <c r="P798" s="301">
        <v>2.4095659769284056E-3</v>
      </c>
      <c r="Q798" s="14">
        <v>43.030303030303003</v>
      </c>
      <c r="R798" s="2">
        <v>174</v>
      </c>
      <c r="S798" s="301">
        <v>4.9762626551507179E-3</v>
      </c>
      <c r="T798" s="14">
        <v>61.818179999999998</v>
      </c>
      <c r="U798" s="301">
        <v>-0.12562814070351758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1849</v>
      </c>
      <c r="B799" s="2">
        <v>0</v>
      </c>
      <c r="C799" s="301">
        <v>0</v>
      </c>
      <c r="D799" s="2">
        <v>80</v>
      </c>
      <c r="E799" s="2">
        <v>0</v>
      </c>
      <c r="F799" s="301">
        <v>0</v>
      </c>
      <c r="G799" s="14">
        <v>16.969696969696901</v>
      </c>
      <c r="H799" s="2">
        <v>49</v>
      </c>
      <c r="I799" s="301">
        <v>3.4335365426389182E-3</v>
      </c>
      <c r="J799" s="14">
        <v>41.212119999999999</v>
      </c>
      <c r="L799" s="2">
        <v>0</v>
      </c>
      <c r="M799" s="301">
        <v>0</v>
      </c>
      <c r="N799" s="2">
        <v>80</v>
      </c>
      <c r="O799" s="2">
        <v>0</v>
      </c>
      <c r="P799" s="301">
        <v>0</v>
      </c>
      <c r="Q799" s="14">
        <v>16.969696969696901</v>
      </c>
      <c r="R799" s="2">
        <v>49</v>
      </c>
      <c r="S799" s="301">
        <v>1.401361322427501E-3</v>
      </c>
      <c r="T799" s="14">
        <v>41.212119999999999</v>
      </c>
      <c r="V799" s="2">
        <v>1766</v>
      </c>
      <c r="W799" s="27">
        <v>0</v>
      </c>
      <c r="X799" s="2">
        <v>189</v>
      </c>
      <c r="Y799" s="2">
        <v>2089</v>
      </c>
      <c r="Z799" s="27">
        <v>0</v>
      </c>
      <c r="AA799" s="14">
        <v>236.36</v>
      </c>
      <c r="AB799" s="2">
        <v>1761</v>
      </c>
      <c r="AC799" s="27">
        <v>0</v>
      </c>
      <c r="AD799" s="14">
        <v>280.61</v>
      </c>
      <c r="AE799" s="27">
        <v>-3.0000000000000001E-3</v>
      </c>
    </row>
    <row r="800" spans="1:31" x14ac:dyDescent="0.3">
      <c r="A800" t="s">
        <v>1771</v>
      </c>
      <c r="B800" s="2">
        <v>1776</v>
      </c>
      <c r="C800" s="301">
        <v>0.14219375500400319</v>
      </c>
      <c r="D800" s="2">
        <v>195.15151515151501</v>
      </c>
      <c r="E800" s="2">
        <v>2173</v>
      </c>
      <c r="F800" s="301">
        <v>0.16263752713120275</v>
      </c>
      <c r="G800" s="14">
        <v>204.84848484848399</v>
      </c>
      <c r="H800" s="2">
        <v>2179</v>
      </c>
      <c r="I800" s="301">
        <v>0.15268726788592249</v>
      </c>
      <c r="J800" s="14">
        <v>259.39395100000002</v>
      </c>
      <c r="K800" s="301">
        <v>0.22691441441441443</v>
      </c>
      <c r="L800" s="2">
        <v>3618</v>
      </c>
      <c r="M800" s="301">
        <v>0.11041259765625</v>
      </c>
      <c r="N800" s="2">
        <v>224.84848484848399</v>
      </c>
      <c r="O800" s="2">
        <v>3680</v>
      </c>
      <c r="P800" s="301">
        <v>0.11084003493870667</v>
      </c>
      <c r="Q800" s="14">
        <v>293.93939393939303</v>
      </c>
      <c r="R800" s="2">
        <v>4090</v>
      </c>
      <c r="S800" s="301">
        <v>0.11697077160670366</v>
      </c>
      <c r="T800" s="14">
        <v>341.21212800000001</v>
      </c>
      <c r="U800" s="301">
        <v>0.13045881702598119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1846</v>
      </c>
      <c r="B801" s="2">
        <v>771</v>
      </c>
      <c r="C801" s="301">
        <v>6.1729383506805444E-2</v>
      </c>
      <c r="D801" s="2">
        <v>152.12121212121201</v>
      </c>
      <c r="E801" s="2">
        <v>1084</v>
      </c>
      <c r="F801" s="301">
        <v>8.1131651822468384E-2</v>
      </c>
      <c r="G801" s="14">
        <v>133.939393939393</v>
      </c>
      <c r="H801" s="2">
        <v>967</v>
      </c>
      <c r="I801" s="301">
        <v>6.7759792586363957E-2</v>
      </c>
      <c r="J801" s="14">
        <v>146.060608</v>
      </c>
      <c r="K801" s="301">
        <v>0.25421530479896237</v>
      </c>
      <c r="L801" s="2">
        <v>1814</v>
      </c>
      <c r="M801" s="301">
        <v>5.535888671875E-2</v>
      </c>
      <c r="N801" s="2">
        <v>170.30303030303</v>
      </c>
      <c r="O801" s="2">
        <v>2003</v>
      </c>
      <c r="P801" s="301">
        <v>6.032950814734496E-2</v>
      </c>
      <c r="Q801" s="14">
        <v>209.69696969696901</v>
      </c>
      <c r="R801" s="2">
        <v>2187</v>
      </c>
      <c r="S801" s="301">
        <v>6.2546473717325399E-2</v>
      </c>
      <c r="T801" s="14">
        <v>218.78787199999999</v>
      </c>
      <c r="U801" s="301">
        <v>0.20562293274531424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1847</v>
      </c>
      <c r="B802" s="2">
        <v>889</v>
      </c>
      <c r="C802" s="301">
        <v>7.1176941553242598E-2</v>
      </c>
      <c r="D802" s="2">
        <v>126.06060606060601</v>
      </c>
      <c r="E802" s="2">
        <v>904</v>
      </c>
      <c r="F802" s="301">
        <v>6.7659606316892454E-2</v>
      </c>
      <c r="G802" s="14">
        <v>153.333333333333</v>
      </c>
      <c r="H802" s="2">
        <v>995</v>
      </c>
      <c r="I802" s="301">
        <v>6.9721813467871901E-2</v>
      </c>
      <c r="J802" s="14">
        <v>215.75756799999999</v>
      </c>
      <c r="K802" s="301">
        <v>0.11923509561304838</v>
      </c>
      <c r="L802" s="2">
        <v>1623</v>
      </c>
      <c r="M802" s="301">
        <v>4.9530029296875E-2</v>
      </c>
      <c r="N802" s="2">
        <v>166.666666666666</v>
      </c>
      <c r="O802" s="2">
        <v>1373</v>
      </c>
      <c r="P802" s="301">
        <v>4.1354176079033765E-2</v>
      </c>
      <c r="Q802" s="14">
        <v>178.78787878787799</v>
      </c>
      <c r="R802" s="2">
        <v>1677</v>
      </c>
      <c r="S802" s="301">
        <v>4.7960876279814678E-2</v>
      </c>
      <c r="T802" s="14">
        <v>273.93939999999998</v>
      </c>
      <c r="U802" s="301">
        <v>3.3271719038817003E-2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1848</v>
      </c>
      <c r="B803" s="2">
        <v>107</v>
      </c>
      <c r="C803" s="301">
        <v>8.5668534827862287E-3</v>
      </c>
      <c r="D803" s="2">
        <v>37.5757575757575</v>
      </c>
      <c r="E803" s="2">
        <v>185</v>
      </c>
      <c r="F803" s="301">
        <v>1.3846268991841928E-2</v>
      </c>
      <c r="G803" s="14">
        <v>78.181818181818201</v>
      </c>
      <c r="H803" s="2">
        <v>165</v>
      </c>
      <c r="I803" s="301">
        <v>1.156190876602901E-2</v>
      </c>
      <c r="J803" s="14">
        <v>80</v>
      </c>
      <c r="K803" s="301">
        <v>0.54205607476635509</v>
      </c>
      <c r="L803" s="2">
        <v>167</v>
      </c>
      <c r="M803" s="301">
        <v>5.096435546875E-3</v>
      </c>
      <c r="N803" s="2">
        <v>55.151515151515099</v>
      </c>
      <c r="O803" s="2">
        <v>304</v>
      </c>
      <c r="P803" s="301">
        <v>9.156350712327942E-3</v>
      </c>
      <c r="Q803" s="14">
        <v>100</v>
      </c>
      <c r="R803" s="2">
        <v>166</v>
      </c>
      <c r="S803" s="301">
        <v>4.7474689698564316E-3</v>
      </c>
      <c r="T803" s="14">
        <v>81.818183899999994</v>
      </c>
      <c r="U803" s="301">
        <v>-5.9880239520958087E-3</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1849</v>
      </c>
      <c r="B804" s="2">
        <v>9</v>
      </c>
      <c r="C804" s="301">
        <v>7.2057646116893519E-4</v>
      </c>
      <c r="D804" s="2">
        <v>9.0909090909090899</v>
      </c>
      <c r="E804" s="2">
        <v>0</v>
      </c>
      <c r="F804" s="301">
        <v>0</v>
      </c>
      <c r="G804" s="14">
        <v>16.969696969696901</v>
      </c>
      <c r="H804" s="2">
        <v>52</v>
      </c>
      <c r="I804" s="301">
        <v>3.6437530656576273E-3</v>
      </c>
      <c r="J804" s="14">
        <v>47.272728000000001</v>
      </c>
      <c r="K804" s="301">
        <v>4.7777777777777777</v>
      </c>
      <c r="L804" s="2">
        <v>14</v>
      </c>
      <c r="M804" s="301">
        <v>4.2724609375E-4</v>
      </c>
      <c r="N804" s="2">
        <v>10.909090909090899</v>
      </c>
      <c r="O804" s="2">
        <v>0</v>
      </c>
      <c r="P804" s="301">
        <v>0</v>
      </c>
      <c r="Q804" s="14">
        <v>16.969696969696901</v>
      </c>
      <c r="R804" s="2">
        <v>60</v>
      </c>
      <c r="S804" s="301">
        <v>1.715952639707144E-3</v>
      </c>
      <c r="T804" s="14">
        <v>48.484848</v>
      </c>
      <c r="U804" s="301">
        <v>3.2857142857142856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1851</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1706</v>
      </c>
      <c r="C807" s="304"/>
      <c r="D807" s="304" t="s">
        <v>1707</v>
      </c>
      <c r="E807" s="304" t="s">
        <v>1706</v>
      </c>
      <c r="F807" s="304"/>
      <c r="G807" s="304" t="s">
        <v>1707</v>
      </c>
      <c r="H807" s="304" t="s">
        <v>1706</v>
      </c>
      <c r="I807" s="304"/>
      <c r="J807" s="304" t="s">
        <v>1707</v>
      </c>
      <c r="K807" t="s">
        <v>172</v>
      </c>
      <c r="L807" s="304" t="s">
        <v>1706</v>
      </c>
      <c r="M807" s="304"/>
      <c r="N807" s="304" t="s">
        <v>1707</v>
      </c>
      <c r="O807" s="304" t="s">
        <v>1706</v>
      </c>
      <c r="P807" s="304"/>
      <c r="Q807" s="304" t="s">
        <v>1707</v>
      </c>
      <c r="R807" s="304" t="s">
        <v>1706</v>
      </c>
      <c r="S807" s="304"/>
      <c r="T807" s="304" t="s">
        <v>1707</v>
      </c>
      <c r="U807" t="s">
        <v>172</v>
      </c>
      <c r="V807" s="207" t="s">
        <v>1706</v>
      </c>
      <c r="W807" s="207"/>
      <c r="X807" s="207" t="s">
        <v>1707</v>
      </c>
      <c r="Y807" s="207" t="s">
        <v>1706</v>
      </c>
      <c r="Z807" s="207"/>
      <c r="AA807" s="207" t="s">
        <v>1707</v>
      </c>
      <c r="AB807" s="207" t="s">
        <v>1706</v>
      </c>
      <c r="AC807" s="207"/>
      <c r="AD807" s="207" t="s">
        <v>1707</v>
      </c>
      <c r="AE807" t="s">
        <v>172</v>
      </c>
    </row>
    <row r="808" spans="1:31" x14ac:dyDescent="0.3">
      <c r="A808" t="s">
        <v>1852</v>
      </c>
      <c r="B808" s="15">
        <v>40889</v>
      </c>
      <c r="C808" t="s">
        <v>172</v>
      </c>
      <c r="D808" s="15">
        <v>940</v>
      </c>
      <c r="E808" s="15">
        <v>40457</v>
      </c>
      <c r="F808" t="s">
        <v>172</v>
      </c>
      <c r="G808" s="14">
        <v>1200.6060606060601</v>
      </c>
      <c r="H808" s="15">
        <v>49335</v>
      </c>
      <c r="I808" t="s">
        <v>172</v>
      </c>
      <c r="J808" s="14">
        <v>2028.4848484848485</v>
      </c>
      <c r="K808" s="301">
        <v>0.20655922130646384</v>
      </c>
      <c r="L808" s="15">
        <v>46039</v>
      </c>
      <c r="M808" t="s">
        <v>172</v>
      </c>
      <c r="N808" s="15">
        <v>1001.21212121212</v>
      </c>
      <c r="O808" s="15">
        <v>45073</v>
      </c>
      <c r="P808" t="s">
        <v>172</v>
      </c>
      <c r="Q808" s="14">
        <v>1113.3333333333301</v>
      </c>
      <c r="R808" s="15">
        <v>61924</v>
      </c>
      <c r="S808" t="s">
        <v>172</v>
      </c>
      <c r="T808" s="14">
        <v>1633.3333333333335</v>
      </c>
      <c r="U808" s="301">
        <v>0.34503355850474599</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1853</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1706</v>
      </c>
      <c r="C811" s="304"/>
      <c r="D811" s="304" t="s">
        <v>1707</v>
      </c>
      <c r="E811" s="304" t="s">
        <v>1706</v>
      </c>
      <c r="F811" s="304"/>
      <c r="G811" s="304" t="s">
        <v>1707</v>
      </c>
      <c r="H811" s="304" t="s">
        <v>1706</v>
      </c>
      <c r="I811" s="304"/>
      <c r="J811" s="304" t="s">
        <v>1707</v>
      </c>
      <c r="K811" t="s">
        <v>172</v>
      </c>
      <c r="L811" s="304" t="s">
        <v>1706</v>
      </c>
      <c r="M811" s="304"/>
      <c r="N811" s="304" t="s">
        <v>1707</v>
      </c>
      <c r="O811" s="304" t="s">
        <v>1706</v>
      </c>
      <c r="P811" s="304"/>
      <c r="Q811" s="304" t="s">
        <v>1707</v>
      </c>
      <c r="R811" s="304" t="s">
        <v>1706</v>
      </c>
      <c r="S811" s="304"/>
      <c r="T811" s="304" t="s">
        <v>1707</v>
      </c>
      <c r="U811" t="s">
        <v>172</v>
      </c>
      <c r="V811" s="207" t="s">
        <v>1706</v>
      </c>
      <c r="W811" s="207"/>
      <c r="X811" s="207" t="s">
        <v>1707</v>
      </c>
      <c r="Y811" s="207" t="s">
        <v>1706</v>
      </c>
      <c r="Z811" s="207"/>
      <c r="AA811" s="207" t="s">
        <v>1707</v>
      </c>
      <c r="AB811" s="207" t="s">
        <v>1706</v>
      </c>
      <c r="AC811" s="207"/>
      <c r="AD811" s="207" t="s">
        <v>1707</v>
      </c>
      <c r="AE811" t="s">
        <v>172</v>
      </c>
    </row>
    <row r="812" spans="1:31" x14ac:dyDescent="0.3">
      <c r="A812" t="s">
        <v>1852</v>
      </c>
      <c r="B812" s="15">
        <v>40716</v>
      </c>
      <c r="C812" t="s">
        <v>172</v>
      </c>
      <c r="D812" s="15">
        <v>1094.54545454545</v>
      </c>
      <c r="E812" s="15">
        <v>40046</v>
      </c>
      <c r="F812" t="s">
        <v>172</v>
      </c>
      <c r="G812" s="14">
        <v>1473.9393939393899</v>
      </c>
      <c r="H812" s="15">
        <v>51166</v>
      </c>
      <c r="I812" t="s">
        <v>172</v>
      </c>
      <c r="J812" s="14">
        <v>3176.3636363636365</v>
      </c>
      <c r="K812" s="301">
        <v>0.25665586010413599</v>
      </c>
      <c r="L812" s="15">
        <v>46794</v>
      </c>
      <c r="M812" t="s">
        <v>172</v>
      </c>
      <c r="N812" s="15">
        <v>1056.3636363636299</v>
      </c>
      <c r="O812" s="15">
        <v>45095</v>
      </c>
      <c r="P812" t="s">
        <v>172</v>
      </c>
      <c r="Q812" s="14">
        <v>1194.54545454545</v>
      </c>
      <c r="R812" s="15">
        <v>66393</v>
      </c>
      <c r="S812" t="s">
        <v>172</v>
      </c>
      <c r="T812" s="14">
        <v>1275.1515151515152</v>
      </c>
      <c r="U812" s="301">
        <v>0.41883574817284269</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1854</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1706</v>
      </c>
      <c r="C815" s="304"/>
      <c r="D815" s="304" t="s">
        <v>1707</v>
      </c>
      <c r="E815" s="304" t="s">
        <v>1706</v>
      </c>
      <c r="F815" s="304"/>
      <c r="G815" s="304" t="s">
        <v>1707</v>
      </c>
      <c r="H815" s="304" t="s">
        <v>1706</v>
      </c>
      <c r="I815" s="304"/>
      <c r="J815" s="304" t="s">
        <v>1707</v>
      </c>
      <c r="K815" t="s">
        <v>172</v>
      </c>
      <c r="L815" s="304" t="s">
        <v>1706</v>
      </c>
      <c r="M815" s="304"/>
      <c r="N815" s="304" t="s">
        <v>1707</v>
      </c>
      <c r="O815" s="304" t="s">
        <v>1706</v>
      </c>
      <c r="P815" s="304"/>
      <c r="Q815" s="304" t="s">
        <v>1707</v>
      </c>
      <c r="R815" s="304" t="s">
        <v>1706</v>
      </c>
      <c r="S815" s="304"/>
      <c r="T815" s="304" t="s">
        <v>1707</v>
      </c>
      <c r="U815" t="s">
        <v>172</v>
      </c>
      <c r="V815" s="207" t="s">
        <v>1706</v>
      </c>
      <c r="W815" s="207"/>
      <c r="X815" s="207" t="s">
        <v>1707</v>
      </c>
      <c r="Y815" s="207" t="s">
        <v>1706</v>
      </c>
      <c r="Z815" s="207"/>
      <c r="AA815" s="207" t="s">
        <v>1707</v>
      </c>
      <c r="AB815" s="207" t="s">
        <v>1706</v>
      </c>
      <c r="AC815" s="207"/>
      <c r="AD815" s="207" t="s">
        <v>1707</v>
      </c>
      <c r="AE815" t="s">
        <v>172</v>
      </c>
    </row>
    <row r="816" spans="1:31" x14ac:dyDescent="0.3">
      <c r="A816" t="s">
        <v>1852</v>
      </c>
      <c r="B816" s="15">
        <v>31172</v>
      </c>
      <c r="C816" t="s">
        <v>172</v>
      </c>
      <c r="D816" s="15">
        <v>11096.3636363636</v>
      </c>
      <c r="E816" s="15">
        <v>41765</v>
      </c>
      <c r="F816" t="s">
        <v>172</v>
      </c>
      <c r="G816" s="14">
        <v>15844.2424242424</v>
      </c>
      <c r="H816" s="15">
        <v>45462</v>
      </c>
      <c r="I816" t="s">
        <v>172</v>
      </c>
      <c r="J816" s="14">
        <v>16775.151515151516</v>
      </c>
      <c r="K816" s="301">
        <v>0.45842422687026818</v>
      </c>
      <c r="L816" s="15">
        <v>40084</v>
      </c>
      <c r="M816" t="s">
        <v>172</v>
      </c>
      <c r="N816" s="15">
        <v>9985.4545454545405</v>
      </c>
      <c r="O816" s="15">
        <v>35661</v>
      </c>
      <c r="P816" t="s">
        <v>172</v>
      </c>
      <c r="Q816" s="14">
        <v>10240.606060606</v>
      </c>
      <c r="R816" s="15">
        <v>45431</v>
      </c>
      <c r="S816" t="s">
        <v>172</v>
      </c>
      <c r="T816" s="14">
        <v>16551.515151515152</v>
      </c>
      <c r="U816" s="301">
        <v>0.1333948707713801</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1855</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1706</v>
      </c>
      <c r="C819" s="304"/>
      <c r="D819" s="304" t="s">
        <v>1707</v>
      </c>
      <c r="E819" s="304" t="s">
        <v>1706</v>
      </c>
      <c r="F819" s="304"/>
      <c r="G819" s="304" t="s">
        <v>1707</v>
      </c>
      <c r="H819" s="304" t="s">
        <v>1706</v>
      </c>
      <c r="I819" s="304"/>
      <c r="J819" s="304" t="s">
        <v>1707</v>
      </c>
      <c r="K819" t="s">
        <v>172</v>
      </c>
      <c r="L819" s="304" t="s">
        <v>1706</v>
      </c>
      <c r="M819" s="304"/>
      <c r="N819" s="304" t="s">
        <v>1707</v>
      </c>
      <c r="O819" s="304" t="s">
        <v>1706</v>
      </c>
      <c r="P819" s="304"/>
      <c r="Q819" s="304" t="s">
        <v>1707</v>
      </c>
      <c r="R819" s="304" t="s">
        <v>1706</v>
      </c>
      <c r="S819" s="304"/>
      <c r="T819" s="304" t="s">
        <v>1707</v>
      </c>
      <c r="U819" t="s">
        <v>172</v>
      </c>
      <c r="V819" s="207" t="s">
        <v>1706</v>
      </c>
      <c r="W819" s="207"/>
      <c r="X819" s="207" t="s">
        <v>1707</v>
      </c>
      <c r="Y819" s="207" t="s">
        <v>1706</v>
      </c>
      <c r="Z819" s="207"/>
      <c r="AA819" s="207" t="s">
        <v>1707</v>
      </c>
      <c r="AB819" s="207" t="s">
        <v>1706</v>
      </c>
      <c r="AC819" s="207"/>
      <c r="AD819" s="207" t="s">
        <v>1707</v>
      </c>
      <c r="AE819" t="s">
        <v>172</v>
      </c>
    </row>
    <row r="820" spans="1:31" x14ac:dyDescent="0.3">
      <c r="A820" t="s">
        <v>1852</v>
      </c>
      <c r="B820" s="15">
        <v>34214</v>
      </c>
      <c r="C820" t="s">
        <v>172</v>
      </c>
      <c r="D820" s="15">
        <v>4828.4848484848399</v>
      </c>
      <c r="E820" s="15">
        <v>33967</v>
      </c>
      <c r="F820" t="s">
        <v>172</v>
      </c>
      <c r="G820" s="14">
        <v>16449.090909090901</v>
      </c>
      <c r="H820" s="15">
        <v>102609</v>
      </c>
      <c r="I820" t="s">
        <v>172</v>
      </c>
      <c r="J820" s="14">
        <v>34920</v>
      </c>
      <c r="K820" s="301">
        <v>1.9990354825510026</v>
      </c>
      <c r="L820" s="15">
        <v>38821</v>
      </c>
      <c r="M820" t="s">
        <v>172</v>
      </c>
      <c r="N820" s="15">
        <v>5630.9090909090901</v>
      </c>
      <c r="O820" s="15">
        <v>33516</v>
      </c>
      <c r="P820" t="s">
        <v>172</v>
      </c>
      <c r="Q820" s="14">
        <v>8593.3333333333303</v>
      </c>
      <c r="R820" s="15">
        <v>64342</v>
      </c>
      <c r="S820" t="s">
        <v>172</v>
      </c>
      <c r="T820" s="14">
        <v>15853.939393939394</v>
      </c>
      <c r="U820" s="301">
        <v>0.65740192164034927</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1856</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1706</v>
      </c>
      <c r="C823" s="304"/>
      <c r="D823" s="304" t="s">
        <v>1707</v>
      </c>
      <c r="E823" s="304" t="s">
        <v>1706</v>
      </c>
      <c r="F823" s="304"/>
      <c r="G823" s="304" t="s">
        <v>1707</v>
      </c>
      <c r="H823" s="304" t="s">
        <v>1706</v>
      </c>
      <c r="I823" s="304"/>
      <c r="J823" s="304" t="s">
        <v>1707</v>
      </c>
      <c r="K823" t="s">
        <v>172</v>
      </c>
      <c r="L823" s="304" t="s">
        <v>1706</v>
      </c>
      <c r="M823" s="304"/>
      <c r="N823" s="304" t="s">
        <v>1707</v>
      </c>
      <c r="O823" s="304" t="s">
        <v>1706</v>
      </c>
      <c r="P823" s="304"/>
      <c r="Q823" s="304" t="s">
        <v>1707</v>
      </c>
      <c r="R823" s="304" t="s">
        <v>1706</v>
      </c>
      <c r="S823" s="304"/>
      <c r="T823" s="304" t="s">
        <v>1707</v>
      </c>
      <c r="U823" t="s">
        <v>172</v>
      </c>
      <c r="V823" s="207" t="s">
        <v>1706</v>
      </c>
      <c r="W823" s="207"/>
      <c r="X823" s="207" t="s">
        <v>1707</v>
      </c>
      <c r="Y823" s="207" t="s">
        <v>1706</v>
      </c>
      <c r="Z823" s="207"/>
      <c r="AA823" s="207" t="s">
        <v>1707</v>
      </c>
      <c r="AB823" s="207" t="s">
        <v>1706</v>
      </c>
      <c r="AC823" s="207"/>
      <c r="AD823" s="207" t="s">
        <v>1707</v>
      </c>
      <c r="AE823" t="s">
        <v>172</v>
      </c>
    </row>
    <row r="824" spans="1:31" x14ac:dyDescent="0.3">
      <c r="A824" t="s">
        <v>1852</v>
      </c>
      <c r="B824" s="15">
        <v>56220</v>
      </c>
      <c r="C824" t="s">
        <v>172</v>
      </c>
      <c r="D824" s="15">
        <v>11698.7878787878</v>
      </c>
      <c r="E824" s="15">
        <v>46493</v>
      </c>
      <c r="F824" t="s">
        <v>172</v>
      </c>
      <c r="G824" s="14">
        <v>6053.9393939393904</v>
      </c>
      <c r="H824" t="s">
        <v>172</v>
      </c>
      <c r="I824" t="s">
        <v>172</v>
      </c>
      <c r="J824" t="s">
        <v>172</v>
      </c>
      <c r="L824" s="15">
        <v>41601</v>
      </c>
      <c r="M824" t="s">
        <v>172</v>
      </c>
      <c r="N824" s="15">
        <v>5875.7575757575696</v>
      </c>
      <c r="O824" s="15">
        <v>53889</v>
      </c>
      <c r="P824" t="s">
        <v>172</v>
      </c>
      <c r="Q824" s="14">
        <v>6669.69696969697</v>
      </c>
      <c r="R824" s="15">
        <v>60104</v>
      </c>
      <c r="S824" t="s">
        <v>172</v>
      </c>
      <c r="T824" s="14">
        <v>13021.818181818182</v>
      </c>
      <c r="U824" s="301">
        <v>0.44477296218840895</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1857</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1706</v>
      </c>
      <c r="C827" s="304"/>
      <c r="D827" s="304" t="s">
        <v>1707</v>
      </c>
      <c r="E827" s="304" t="s">
        <v>1706</v>
      </c>
      <c r="F827" s="304"/>
      <c r="G827" s="304" t="s">
        <v>1707</v>
      </c>
      <c r="H827" s="304" t="s">
        <v>1706</v>
      </c>
      <c r="I827" s="304"/>
      <c r="J827" s="304" t="s">
        <v>1707</v>
      </c>
      <c r="K827" t="s">
        <v>172</v>
      </c>
      <c r="L827" s="304" t="s">
        <v>1706</v>
      </c>
      <c r="M827" s="304"/>
      <c r="N827" s="304" t="s">
        <v>1707</v>
      </c>
      <c r="O827" s="304" t="s">
        <v>1706</v>
      </c>
      <c r="P827" s="304"/>
      <c r="Q827" s="304" t="s">
        <v>1707</v>
      </c>
      <c r="R827" s="304" t="s">
        <v>1706</v>
      </c>
      <c r="S827" s="304"/>
      <c r="T827" s="304" t="s">
        <v>1707</v>
      </c>
      <c r="U827" t="s">
        <v>172</v>
      </c>
      <c r="V827" s="207" t="s">
        <v>1706</v>
      </c>
      <c r="W827" s="207"/>
      <c r="X827" s="207" t="s">
        <v>1707</v>
      </c>
      <c r="Y827" s="207" t="s">
        <v>1706</v>
      </c>
      <c r="Z827" s="207"/>
      <c r="AA827" s="207" t="s">
        <v>1707</v>
      </c>
      <c r="AB827" s="207" t="s">
        <v>1706</v>
      </c>
      <c r="AC827" s="207"/>
      <c r="AD827" s="207" t="s">
        <v>1707</v>
      </c>
      <c r="AE827" t="s">
        <v>172</v>
      </c>
    </row>
    <row r="828" spans="1:31" x14ac:dyDescent="0.3">
      <c r="A828" t="s">
        <v>1852</v>
      </c>
      <c r="B828" t="s">
        <v>172</v>
      </c>
      <c r="C828" t="s">
        <v>172</v>
      </c>
      <c r="D828" t="s">
        <v>172</v>
      </c>
      <c r="E828" t="s">
        <v>172</v>
      </c>
      <c r="F828" t="s">
        <v>172</v>
      </c>
      <c r="G828" t="s">
        <v>172</v>
      </c>
      <c r="H828" t="s">
        <v>172</v>
      </c>
      <c r="I828" t="s">
        <v>172</v>
      </c>
      <c r="J828" t="s">
        <v>172</v>
      </c>
      <c r="L828" t="s">
        <v>172</v>
      </c>
      <c r="M828" t="s">
        <v>172</v>
      </c>
      <c r="N828" t="s">
        <v>172</v>
      </c>
      <c r="O828" s="15">
        <v>66343</v>
      </c>
      <c r="P828" t="s">
        <v>172</v>
      </c>
      <c r="Q828" s="14">
        <v>271.51515151515099</v>
      </c>
      <c r="R828" t="s">
        <v>172</v>
      </c>
      <c r="S828" t="s">
        <v>172</v>
      </c>
      <c r="T828" t="s">
        <v>172</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1858</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1706</v>
      </c>
      <c r="C831" s="304"/>
      <c r="D831" s="304" t="s">
        <v>1707</v>
      </c>
      <c r="E831" s="304" t="s">
        <v>1706</v>
      </c>
      <c r="F831" s="304"/>
      <c r="G831" s="304" t="s">
        <v>1707</v>
      </c>
      <c r="H831" s="304" t="s">
        <v>1706</v>
      </c>
      <c r="I831" s="304"/>
      <c r="J831" s="304" t="s">
        <v>1707</v>
      </c>
      <c r="K831" t="s">
        <v>172</v>
      </c>
      <c r="L831" s="304" t="s">
        <v>1706</v>
      </c>
      <c r="M831" s="304"/>
      <c r="N831" s="304" t="s">
        <v>1707</v>
      </c>
      <c r="O831" s="304" t="s">
        <v>1706</v>
      </c>
      <c r="P831" s="304"/>
      <c r="Q831" s="304" t="s">
        <v>1707</v>
      </c>
      <c r="R831" s="304" t="s">
        <v>1706</v>
      </c>
      <c r="S831" s="304"/>
      <c r="T831" s="304" t="s">
        <v>1707</v>
      </c>
      <c r="U831" t="s">
        <v>172</v>
      </c>
      <c r="V831" s="207" t="s">
        <v>1706</v>
      </c>
      <c r="W831" s="207"/>
      <c r="X831" s="207" t="s">
        <v>1707</v>
      </c>
      <c r="Y831" s="207" t="s">
        <v>1706</v>
      </c>
      <c r="Z831" s="207"/>
      <c r="AA831" s="207" t="s">
        <v>1707</v>
      </c>
      <c r="AB831" s="207" t="s">
        <v>1706</v>
      </c>
      <c r="AC831" s="207"/>
      <c r="AD831" s="207" t="s">
        <v>1707</v>
      </c>
      <c r="AE831" t="s">
        <v>172</v>
      </c>
    </row>
    <row r="832" spans="1:31" x14ac:dyDescent="0.3">
      <c r="A832" t="s">
        <v>1852</v>
      </c>
      <c r="B832" s="15">
        <v>41875</v>
      </c>
      <c r="C832" t="s">
        <v>172</v>
      </c>
      <c r="D832" s="15">
        <v>3958.1818181818098</v>
      </c>
      <c r="E832" s="15">
        <v>41696</v>
      </c>
      <c r="F832" t="s">
        <v>172</v>
      </c>
      <c r="G832" s="14">
        <v>6554.5454545454504</v>
      </c>
      <c r="H832" s="15">
        <v>43169</v>
      </c>
      <c r="I832" t="s">
        <v>172</v>
      </c>
      <c r="J832" s="14">
        <v>5781.2121212121219</v>
      </c>
      <c r="K832" s="301">
        <v>3.0901492537313432E-2</v>
      </c>
      <c r="L832" s="15">
        <v>42013</v>
      </c>
      <c r="M832" t="s">
        <v>172</v>
      </c>
      <c r="N832" s="15">
        <v>2422.4242424242402</v>
      </c>
      <c r="O832" s="15">
        <v>47484</v>
      </c>
      <c r="P832" t="s">
        <v>172</v>
      </c>
      <c r="Q832" s="14">
        <v>3854.54545454545</v>
      </c>
      <c r="R832" s="15">
        <v>48428</v>
      </c>
      <c r="S832" t="s">
        <v>172</v>
      </c>
      <c r="T832" s="14">
        <v>2028.4848484848485</v>
      </c>
      <c r="U832" s="301">
        <v>0.15269083378954132</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1859</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1706</v>
      </c>
      <c r="C835" s="304"/>
      <c r="D835" s="304" t="s">
        <v>1707</v>
      </c>
      <c r="E835" s="304" t="s">
        <v>1706</v>
      </c>
      <c r="F835" s="304"/>
      <c r="G835" s="304" t="s">
        <v>1707</v>
      </c>
      <c r="H835" s="304" t="s">
        <v>1706</v>
      </c>
      <c r="I835" s="304"/>
      <c r="J835" s="304" t="s">
        <v>1707</v>
      </c>
      <c r="K835" t="s">
        <v>172</v>
      </c>
      <c r="L835" s="304" t="s">
        <v>1706</v>
      </c>
      <c r="M835" s="304"/>
      <c r="N835" s="304" t="s">
        <v>1707</v>
      </c>
      <c r="O835" s="304" t="s">
        <v>1706</v>
      </c>
      <c r="P835" s="304"/>
      <c r="Q835" s="304" t="s">
        <v>1707</v>
      </c>
      <c r="R835" s="304" t="s">
        <v>1706</v>
      </c>
      <c r="S835" s="304"/>
      <c r="T835" s="304" t="s">
        <v>1707</v>
      </c>
      <c r="U835" t="s">
        <v>172</v>
      </c>
      <c r="V835" s="207" t="s">
        <v>1706</v>
      </c>
      <c r="W835" s="207"/>
      <c r="X835" s="207" t="s">
        <v>1707</v>
      </c>
      <c r="Y835" s="207" t="s">
        <v>1706</v>
      </c>
      <c r="Z835" s="207"/>
      <c r="AA835" s="207" t="s">
        <v>1707</v>
      </c>
      <c r="AB835" s="207" t="s">
        <v>1706</v>
      </c>
      <c r="AC835" s="207"/>
      <c r="AD835" s="207" t="s">
        <v>1707</v>
      </c>
      <c r="AE835" t="s">
        <v>172</v>
      </c>
    </row>
    <row r="836" spans="1:31" x14ac:dyDescent="0.3">
      <c r="A836" t="s">
        <v>1852</v>
      </c>
      <c r="B836" s="15">
        <v>60500</v>
      </c>
      <c r="C836" t="s">
        <v>172</v>
      </c>
      <c r="D836" s="15">
        <v>15420</v>
      </c>
      <c r="E836" s="15">
        <v>40444</v>
      </c>
      <c r="F836" t="s">
        <v>172</v>
      </c>
      <c r="G836" s="14">
        <v>8750.30303030303</v>
      </c>
      <c r="H836" s="15">
        <v>77651</v>
      </c>
      <c r="I836" t="s">
        <v>172</v>
      </c>
      <c r="J836" s="14">
        <v>19803.636363636364</v>
      </c>
      <c r="K836" s="301">
        <v>0.2834876033057851</v>
      </c>
      <c r="L836" s="15">
        <v>62438</v>
      </c>
      <c r="M836" t="s">
        <v>172</v>
      </c>
      <c r="N836" s="15">
        <v>10193.333333333299</v>
      </c>
      <c r="O836" s="15">
        <v>44250</v>
      </c>
      <c r="P836" t="s">
        <v>172</v>
      </c>
      <c r="Q836" s="14">
        <v>4720.6060606060601</v>
      </c>
      <c r="R836" s="15">
        <v>77847</v>
      </c>
      <c r="S836" t="s">
        <v>172</v>
      </c>
      <c r="T836" s="14">
        <v>13485.454545454546</v>
      </c>
      <c r="U836" s="301">
        <v>0.24678881450398796</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1860</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1706</v>
      </c>
      <c r="C839" s="304"/>
      <c r="D839" s="304" t="s">
        <v>1707</v>
      </c>
      <c r="E839" s="304" t="s">
        <v>1706</v>
      </c>
      <c r="F839" s="304"/>
      <c r="G839" s="304" t="s">
        <v>1707</v>
      </c>
      <c r="H839" s="304" t="s">
        <v>1706</v>
      </c>
      <c r="I839" s="304"/>
      <c r="J839" s="304" t="s">
        <v>1707</v>
      </c>
      <c r="K839" t="s">
        <v>172</v>
      </c>
      <c r="L839" s="304" t="s">
        <v>1706</v>
      </c>
      <c r="M839" s="304"/>
      <c r="N839" s="304" t="s">
        <v>1707</v>
      </c>
      <c r="O839" s="304" t="s">
        <v>1706</v>
      </c>
      <c r="P839" s="304"/>
      <c r="Q839" s="304" t="s">
        <v>1707</v>
      </c>
      <c r="R839" s="304" t="s">
        <v>1706</v>
      </c>
      <c r="S839" s="304"/>
      <c r="T839" s="304" t="s">
        <v>1707</v>
      </c>
      <c r="U839" t="s">
        <v>172</v>
      </c>
      <c r="V839" s="207" t="s">
        <v>1706</v>
      </c>
      <c r="W839" s="207"/>
      <c r="X839" s="207" t="s">
        <v>1707</v>
      </c>
      <c r="Y839" s="207" t="s">
        <v>1706</v>
      </c>
      <c r="Z839" s="207"/>
      <c r="AA839" s="207" t="s">
        <v>1707</v>
      </c>
      <c r="AB839" s="207" t="s">
        <v>1706</v>
      </c>
      <c r="AC839" s="207"/>
      <c r="AD839" s="207" t="s">
        <v>1707</v>
      </c>
      <c r="AE839" t="s">
        <v>172</v>
      </c>
    </row>
    <row r="840" spans="1:31" x14ac:dyDescent="0.3">
      <c r="A840" t="s">
        <v>1852</v>
      </c>
      <c r="B840" s="15">
        <v>49812</v>
      </c>
      <c r="C840" t="s">
        <v>172</v>
      </c>
      <c r="D840" s="15">
        <v>3767.8787878787798</v>
      </c>
      <c r="E840" s="15">
        <v>50356</v>
      </c>
      <c r="F840" t="s">
        <v>172</v>
      </c>
      <c r="G840" s="14">
        <v>2310.30303030303</v>
      </c>
      <c r="H840" s="15">
        <v>58000</v>
      </c>
      <c r="I840" t="s">
        <v>172</v>
      </c>
      <c r="J840" s="14">
        <v>5520</v>
      </c>
      <c r="K840" s="301">
        <v>0.16437806151128243</v>
      </c>
      <c r="L840" s="15">
        <v>52684</v>
      </c>
      <c r="M840" t="s">
        <v>172</v>
      </c>
      <c r="N840" s="15">
        <v>1241.2121212121201</v>
      </c>
      <c r="O840" s="15">
        <v>53392</v>
      </c>
      <c r="P840" t="s">
        <v>172</v>
      </c>
      <c r="Q840" s="14">
        <v>1656.3636363636299</v>
      </c>
      <c r="R840" s="15">
        <v>71001</v>
      </c>
      <c r="S840" t="s">
        <v>172</v>
      </c>
      <c r="T840" s="14">
        <v>1190.3030303030303</v>
      </c>
      <c r="U840" s="301">
        <v>0.3476767139928631</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1861</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1706</v>
      </c>
      <c r="C843" s="304"/>
      <c r="D843" s="304" t="s">
        <v>1707</v>
      </c>
      <c r="E843" s="304" t="s">
        <v>1706</v>
      </c>
      <c r="F843" s="304"/>
      <c r="G843" s="304" t="s">
        <v>1707</v>
      </c>
      <c r="H843" s="304" t="s">
        <v>1706</v>
      </c>
      <c r="I843" s="304"/>
      <c r="J843" s="304" t="s">
        <v>1707</v>
      </c>
      <c r="K843" t="s">
        <v>172</v>
      </c>
      <c r="L843" s="304" t="s">
        <v>1706</v>
      </c>
      <c r="M843" s="304"/>
      <c r="N843" s="304" t="s">
        <v>1707</v>
      </c>
      <c r="O843" s="304" t="s">
        <v>1706</v>
      </c>
      <c r="P843" s="304"/>
      <c r="Q843" s="304" t="s">
        <v>1707</v>
      </c>
      <c r="R843" s="304" t="s">
        <v>1706</v>
      </c>
      <c r="S843" s="304"/>
      <c r="T843" s="304" t="s">
        <v>1707</v>
      </c>
      <c r="U843" t="s">
        <v>172</v>
      </c>
      <c r="V843" s="207" t="s">
        <v>1706</v>
      </c>
      <c r="W843" s="207"/>
      <c r="X843" s="207" t="s">
        <v>1707</v>
      </c>
      <c r="Y843" s="207" t="s">
        <v>1706</v>
      </c>
      <c r="Z843" s="207"/>
      <c r="AA843" s="207" t="s">
        <v>1707</v>
      </c>
      <c r="AB843" s="207" t="s">
        <v>1706</v>
      </c>
      <c r="AC843" s="207"/>
      <c r="AD843" s="207" t="s">
        <v>1707</v>
      </c>
      <c r="AE843" t="s">
        <v>172</v>
      </c>
    </row>
    <row r="844" spans="1:31" x14ac:dyDescent="0.3">
      <c r="A844" t="s">
        <v>1852</v>
      </c>
      <c r="B844" s="15">
        <v>37139</v>
      </c>
      <c r="C844" t="s">
        <v>172</v>
      </c>
      <c r="D844" s="15">
        <v>2051.5151515151501</v>
      </c>
      <c r="E844" s="15">
        <v>37726</v>
      </c>
      <c r="F844" t="s">
        <v>172</v>
      </c>
      <c r="G844" s="14">
        <v>1532.12121212121</v>
      </c>
      <c r="H844" s="15">
        <v>49222</v>
      </c>
      <c r="I844" t="s">
        <v>172</v>
      </c>
      <c r="J844" s="14">
        <v>1807.878787878788</v>
      </c>
      <c r="K844" s="301">
        <v>0.32534532432214114</v>
      </c>
      <c r="L844" s="15">
        <v>39868</v>
      </c>
      <c r="M844" t="s">
        <v>172</v>
      </c>
      <c r="N844" s="15">
        <v>1019.3939393939301</v>
      </c>
      <c r="O844" s="15">
        <v>39124</v>
      </c>
      <c r="P844" t="s">
        <v>172</v>
      </c>
      <c r="Q844" s="14">
        <v>1364.84848484848</v>
      </c>
      <c r="R844" s="15">
        <v>52667</v>
      </c>
      <c r="S844" t="s">
        <v>172</v>
      </c>
      <c r="T844" s="14">
        <v>2079.3939393939395</v>
      </c>
      <c r="U844" s="301">
        <v>0.3210344135647637</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1862</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1706</v>
      </c>
      <c r="C847" s="304"/>
      <c r="D847" s="304" t="s">
        <v>1707</v>
      </c>
      <c r="E847" s="304" t="s">
        <v>1706</v>
      </c>
      <c r="F847" s="304"/>
      <c r="G847" s="304" t="s">
        <v>1707</v>
      </c>
      <c r="H847" s="304" t="s">
        <v>1706</v>
      </c>
      <c r="I847" s="304"/>
      <c r="J847" s="304" t="s">
        <v>1707</v>
      </c>
      <c r="K847" t="s">
        <v>172</v>
      </c>
      <c r="L847" s="304" t="s">
        <v>1706</v>
      </c>
      <c r="M847" s="304"/>
      <c r="N847" s="304" t="s">
        <v>1707</v>
      </c>
      <c r="O847" s="304" t="s">
        <v>1706</v>
      </c>
      <c r="P847" s="304"/>
      <c r="Q847" s="304" t="s">
        <v>1707</v>
      </c>
      <c r="R847" s="304" t="s">
        <v>1706</v>
      </c>
      <c r="S847" s="304"/>
      <c r="T847" s="304" t="s">
        <v>1707</v>
      </c>
      <c r="U847" t="s">
        <v>172</v>
      </c>
      <c r="V847" s="207" t="s">
        <v>1706</v>
      </c>
      <c r="W847" s="207"/>
      <c r="X847" s="207" t="s">
        <v>1707</v>
      </c>
      <c r="Y847" s="207" t="s">
        <v>1706</v>
      </c>
      <c r="Z847" s="207"/>
      <c r="AA847" s="207" t="s">
        <v>1707</v>
      </c>
      <c r="AB847" s="207" t="s">
        <v>1706</v>
      </c>
      <c r="AC847" s="207"/>
      <c r="AD847" s="207" t="s">
        <v>1707</v>
      </c>
      <c r="AE847" t="s">
        <v>172</v>
      </c>
    </row>
    <row r="848" spans="1:31" x14ac:dyDescent="0.3">
      <c r="A848" t="s">
        <v>174</v>
      </c>
      <c r="B848" s="2">
        <v>15857</v>
      </c>
      <c r="C848" t="s">
        <v>172</v>
      </c>
      <c r="D848" s="2">
        <v>297.575757575757</v>
      </c>
      <c r="E848" s="2">
        <v>16791</v>
      </c>
      <c r="F848" t="s">
        <v>172</v>
      </c>
      <c r="G848" s="14">
        <v>318.18181818181802</v>
      </c>
      <c r="H848" s="2">
        <v>17598</v>
      </c>
      <c r="I848" t="s">
        <v>172</v>
      </c>
      <c r="J848" s="14">
        <v>315.75757575757575</v>
      </c>
      <c r="K848" s="301">
        <v>0.1097937819259633</v>
      </c>
      <c r="L848" s="2">
        <v>42089</v>
      </c>
      <c r="M848" t="s">
        <v>172</v>
      </c>
      <c r="N848" s="2">
        <v>393.33333333333297</v>
      </c>
      <c r="O848" s="2">
        <v>43159</v>
      </c>
      <c r="P848" t="s">
        <v>172</v>
      </c>
      <c r="Q848" s="14">
        <v>457.575757575757</v>
      </c>
      <c r="R848" s="2">
        <v>44479</v>
      </c>
      <c r="S848" t="s">
        <v>172</v>
      </c>
      <c r="T848" s="14">
        <v>306.06060606060606</v>
      </c>
      <c r="U848" s="301">
        <v>5.6784432987241319E-2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1863</v>
      </c>
      <c r="B849" s="2">
        <v>812</v>
      </c>
      <c r="C849" s="301">
        <v>5.1207668537554395E-2</v>
      </c>
      <c r="D849" s="2">
        <v>123.030303030303</v>
      </c>
      <c r="E849" s="2">
        <v>839</v>
      </c>
      <c r="F849" s="301">
        <v>4.9967244357096062E-2</v>
      </c>
      <c r="G849" s="14">
        <v>100.60606060606</v>
      </c>
      <c r="H849" s="2">
        <v>674</v>
      </c>
      <c r="I849" s="301">
        <v>3.8299806796226847E-2</v>
      </c>
      <c r="J849" s="14">
        <v>231.51515151515153</v>
      </c>
      <c r="K849" s="301">
        <v>-0.16995073891625614</v>
      </c>
      <c r="L849" s="2">
        <v>1463</v>
      </c>
      <c r="M849" s="301">
        <v>3.4759675924825963E-2</v>
      </c>
      <c r="N849" s="2">
        <v>167.272727272727</v>
      </c>
      <c r="O849" s="2">
        <v>1500</v>
      </c>
      <c r="P849" s="301">
        <v>3.4755207488588707E-2</v>
      </c>
      <c r="Q849" s="14">
        <v>153.333333333333</v>
      </c>
      <c r="R849" s="2">
        <v>984</v>
      </c>
      <c r="S849" s="301">
        <v>2.2122799523370578E-2</v>
      </c>
      <c r="T849" s="14">
        <v>245.45454545454547</v>
      </c>
      <c r="U849" s="301">
        <v>-0.32740943267259059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1864</v>
      </c>
      <c r="B850" s="2">
        <v>19</v>
      </c>
      <c r="C850" s="301">
        <v>1.1982089928738097E-3</v>
      </c>
      <c r="D850" s="2">
        <v>13.9393939393939</v>
      </c>
      <c r="E850" s="2">
        <v>120</v>
      </c>
      <c r="F850" s="301">
        <v>7.1466857244952657E-3</v>
      </c>
      <c r="G850" s="14">
        <v>47.272727272727202</v>
      </c>
      <c r="H850" s="2">
        <v>36</v>
      </c>
      <c r="I850" s="301">
        <v>2.0456870098874871E-3</v>
      </c>
      <c r="J850" s="14">
        <v>26.060606060606062</v>
      </c>
      <c r="K850" s="301">
        <v>0.89473684210526316</v>
      </c>
      <c r="L850" s="2">
        <v>63</v>
      </c>
      <c r="M850" s="301">
        <v>1.4968281498728884E-3</v>
      </c>
      <c r="N850" s="2">
        <v>35.151515151515099</v>
      </c>
      <c r="O850" s="2">
        <v>277</v>
      </c>
      <c r="P850" s="301">
        <v>6.4181283162260475E-3</v>
      </c>
      <c r="Q850" s="14">
        <v>86.6666666666666</v>
      </c>
      <c r="R850" s="2">
        <v>68</v>
      </c>
      <c r="S850" s="301">
        <v>1.5288113491760157E-3</v>
      </c>
      <c r="T850" s="14">
        <v>32.121212121212125</v>
      </c>
      <c r="U850" s="301">
        <v>7.9365079365079361E-2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1865</v>
      </c>
      <c r="B851" s="2">
        <v>84</v>
      </c>
      <c r="C851" s="301">
        <v>5.2973450211263162E-3</v>
      </c>
      <c r="D851" s="2">
        <v>38.787878787878697</v>
      </c>
      <c r="E851" s="2">
        <v>17</v>
      </c>
      <c r="F851" s="301">
        <v>1.0124471443034959E-3</v>
      </c>
      <c r="G851" s="14">
        <v>11.5151515151515</v>
      </c>
      <c r="H851" s="2">
        <v>0</v>
      </c>
      <c r="I851" s="301">
        <v>0</v>
      </c>
      <c r="J851" s="14">
        <v>18.787878787878789</v>
      </c>
      <c r="K851" s="301">
        <v>-1</v>
      </c>
      <c r="L851" s="2">
        <v>126</v>
      </c>
      <c r="M851" s="301">
        <v>2.9936562997457767E-3</v>
      </c>
      <c r="N851" s="2">
        <v>42.424242424242401</v>
      </c>
      <c r="O851" s="2">
        <v>49</v>
      </c>
      <c r="P851" s="301">
        <v>1.1353367779605645E-3</v>
      </c>
      <c r="Q851" s="14">
        <v>27.878787878787801</v>
      </c>
      <c r="R851" s="2">
        <v>8</v>
      </c>
      <c r="S851" s="301">
        <v>1.7986015872659009E-4</v>
      </c>
      <c r="T851" s="14">
        <v>7.8787878787878789</v>
      </c>
      <c r="U851" s="301">
        <v>-0.93650793650793651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1866</v>
      </c>
      <c r="B852" s="2">
        <v>143</v>
      </c>
      <c r="C852" s="301">
        <v>9.0180992621555142E-3</v>
      </c>
      <c r="D852" s="2">
        <v>69.090909090909093</v>
      </c>
      <c r="E852" s="2">
        <v>102</v>
      </c>
      <c r="F852" s="301">
        <v>6.0746828658209753E-3</v>
      </c>
      <c r="G852" s="14">
        <v>52.727272727272698</v>
      </c>
      <c r="H852" s="2">
        <v>76</v>
      </c>
      <c r="I852" s="301">
        <v>4.3186725764291396E-3</v>
      </c>
      <c r="J852" s="14">
        <v>44.848484848484851</v>
      </c>
      <c r="K852" s="301">
        <v>-0.46853146853146854</v>
      </c>
      <c r="L852" s="2">
        <v>164</v>
      </c>
      <c r="M852" s="301">
        <v>3.8965050250659317E-3</v>
      </c>
      <c r="N852" s="2">
        <v>70.909090909090907</v>
      </c>
      <c r="O852" s="2">
        <v>197</v>
      </c>
      <c r="P852" s="301">
        <v>4.5645172501679833E-3</v>
      </c>
      <c r="Q852" s="14">
        <v>79.393939393939405</v>
      </c>
      <c r="R852" s="2">
        <v>117</v>
      </c>
      <c r="S852" s="301">
        <v>2.6304548213763801E-3</v>
      </c>
      <c r="T852" s="14">
        <v>49.090909090909093</v>
      </c>
      <c r="U852" s="301">
        <v>-0.28658536585365851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1867</v>
      </c>
      <c r="B853" s="2">
        <v>90</v>
      </c>
      <c r="C853" s="301">
        <v>5.6757268083496249E-3</v>
      </c>
      <c r="D853" s="2">
        <v>40</v>
      </c>
      <c r="E853" s="2">
        <v>64</v>
      </c>
      <c r="F853" s="301">
        <v>3.8115657197308082E-3</v>
      </c>
      <c r="G853" s="14">
        <v>29.090909090909101</v>
      </c>
      <c r="H853" s="2">
        <v>31</v>
      </c>
      <c r="I853" s="301">
        <v>1.7615638140697806E-3</v>
      </c>
      <c r="J853" s="14">
        <v>24.242424242424242</v>
      </c>
      <c r="K853" s="301">
        <v>-0.65555555555555556</v>
      </c>
      <c r="L853" s="2">
        <v>167</v>
      </c>
      <c r="M853" s="301">
        <v>3.9677825560122601E-3</v>
      </c>
      <c r="N853" s="2">
        <v>63.030303030303003</v>
      </c>
      <c r="O853" s="2">
        <v>73</v>
      </c>
      <c r="P853" s="301">
        <v>1.6914200977779837E-3</v>
      </c>
      <c r="Q853" s="14">
        <v>30.303030303030301</v>
      </c>
      <c r="R853" s="2">
        <v>53</v>
      </c>
      <c r="S853" s="301">
        <v>1.1915735515636594E-3</v>
      </c>
      <c r="T853" s="14">
        <v>26.060606060606062</v>
      </c>
      <c r="U853" s="301">
        <v>-0.68263473053892221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1868</v>
      </c>
      <c r="B854" s="2">
        <v>27</v>
      </c>
      <c r="C854" s="301">
        <v>1.7027180425048874E-3</v>
      </c>
      <c r="D854" s="2">
        <v>20.606060606060598</v>
      </c>
      <c r="E854" s="2">
        <v>16</v>
      </c>
      <c r="F854" s="301">
        <v>9.5289142993270205E-4</v>
      </c>
      <c r="G854" s="14">
        <v>15.151515151515101</v>
      </c>
      <c r="H854" s="2">
        <v>50</v>
      </c>
      <c r="I854" s="301">
        <v>2.8412319581770655E-3</v>
      </c>
      <c r="J854" s="14">
        <v>36.969696969696969</v>
      </c>
      <c r="K854" s="301">
        <v>0.85185185185185186</v>
      </c>
      <c r="L854" s="2">
        <v>49</v>
      </c>
      <c r="M854" s="301">
        <v>1.1641996721233577E-3</v>
      </c>
      <c r="N854" s="2">
        <v>27.272727272727199</v>
      </c>
      <c r="O854" s="2">
        <v>49</v>
      </c>
      <c r="P854" s="301">
        <v>1.1353367779605645E-3</v>
      </c>
      <c r="Q854" s="14">
        <v>41.212121212121197</v>
      </c>
      <c r="R854" s="2">
        <v>51</v>
      </c>
      <c r="S854" s="301">
        <v>1.1466085118820117E-3</v>
      </c>
      <c r="T854" s="14">
        <v>36.969696969696969</v>
      </c>
      <c r="U854" s="301">
        <v>4.0816326530612242E-2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1869</v>
      </c>
      <c r="B855" s="2">
        <v>55</v>
      </c>
      <c r="C855" s="301">
        <v>3.4684997162136594E-3</v>
      </c>
      <c r="D855" s="2">
        <v>29.696969696969699</v>
      </c>
      <c r="E855" s="2">
        <v>54</v>
      </c>
      <c r="F855" s="301">
        <v>3.2160085760228694E-3</v>
      </c>
      <c r="G855" s="14">
        <v>25.4545454545454</v>
      </c>
      <c r="H855" s="2">
        <v>43</v>
      </c>
      <c r="I855" s="301">
        <v>2.4434594840322763E-3</v>
      </c>
      <c r="J855" s="14">
        <v>30.303030303030305</v>
      </c>
      <c r="K855" s="301">
        <v>-0.21818181818181817</v>
      </c>
      <c r="L855" s="2">
        <v>133</v>
      </c>
      <c r="M855" s="301">
        <v>3.1599705386205421E-3</v>
      </c>
      <c r="N855" s="2">
        <v>51.515151515151501</v>
      </c>
      <c r="O855" s="2">
        <v>91</v>
      </c>
      <c r="P855" s="301">
        <v>2.1084825876410483E-3</v>
      </c>
      <c r="Q855" s="14">
        <v>36.969696969696898</v>
      </c>
      <c r="R855" s="2">
        <v>68</v>
      </c>
      <c r="S855" s="301">
        <v>1.5288113491760157E-3</v>
      </c>
      <c r="T855" s="14">
        <v>36.363636363636367</v>
      </c>
      <c r="U855" s="301">
        <v>-0.48872180451127817</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1870</v>
      </c>
      <c r="B856" s="2">
        <v>26</v>
      </c>
      <c r="C856" s="301">
        <v>1.6396544113010027E-3</v>
      </c>
      <c r="D856" s="2">
        <v>19.393939393939299</v>
      </c>
      <c r="E856" s="2">
        <v>53</v>
      </c>
      <c r="F856" s="301">
        <v>3.1564528616520753E-3</v>
      </c>
      <c r="G856" s="14">
        <v>24.2424242424242</v>
      </c>
      <c r="H856" s="2">
        <v>35</v>
      </c>
      <c r="I856" s="301">
        <v>1.988862370723946E-3</v>
      </c>
      <c r="J856" s="14">
        <v>18.181818181818183</v>
      </c>
      <c r="K856" s="301">
        <v>0.34615384615384615</v>
      </c>
      <c r="L856" s="2">
        <v>117</v>
      </c>
      <c r="M856" s="301">
        <v>2.7798237069067929E-3</v>
      </c>
      <c r="N856" s="2">
        <v>49.696969696969703</v>
      </c>
      <c r="O856" s="2">
        <v>112</v>
      </c>
      <c r="P856" s="301">
        <v>2.5950554924812903E-3</v>
      </c>
      <c r="Q856" s="14">
        <v>50.909090909090899</v>
      </c>
      <c r="R856" s="2">
        <v>51</v>
      </c>
      <c r="S856" s="301">
        <v>1.1466085118820117E-3</v>
      </c>
      <c r="T856" s="14">
        <v>24.242424242424242</v>
      </c>
      <c r="U856" s="301">
        <v>-0.5641025641025641</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1871</v>
      </c>
      <c r="B857" s="2">
        <v>59</v>
      </c>
      <c r="C857" s="301">
        <v>3.7207542410291985E-3</v>
      </c>
      <c r="D857" s="2">
        <v>38.787878787878697</v>
      </c>
      <c r="E857" s="2">
        <v>26</v>
      </c>
      <c r="F857" s="301">
        <v>1.5484485736406409E-3</v>
      </c>
      <c r="G857" s="14">
        <v>25.4545454545454</v>
      </c>
      <c r="H857" s="2">
        <v>80</v>
      </c>
      <c r="I857" s="301">
        <v>4.545971133083305E-3</v>
      </c>
      <c r="J857" s="14">
        <v>40.606060606060609</v>
      </c>
      <c r="K857" s="301">
        <v>0.3559322033898305</v>
      </c>
      <c r="L857" s="2">
        <v>96</v>
      </c>
      <c r="M857" s="301">
        <v>2.2808809902824965E-3</v>
      </c>
      <c r="N857" s="2">
        <v>46.6666666666666</v>
      </c>
      <c r="O857" s="2">
        <v>26</v>
      </c>
      <c r="P857" s="301">
        <v>6.0242359646887087E-4</v>
      </c>
      <c r="Q857" s="14">
        <v>25.4545454545454</v>
      </c>
      <c r="R857" s="2">
        <v>96</v>
      </c>
      <c r="S857" s="301">
        <v>2.1583219047190808E-3</v>
      </c>
      <c r="T857" s="14">
        <v>45.45454545454546</v>
      </c>
      <c r="U857" s="301">
        <v>0</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1872</v>
      </c>
      <c r="B858" s="2">
        <v>23</v>
      </c>
      <c r="C858" s="301">
        <v>1.4504635176893486E-3</v>
      </c>
      <c r="D858" s="2">
        <v>16.363636363636299</v>
      </c>
      <c r="E858" s="2">
        <v>145</v>
      </c>
      <c r="F858" s="301">
        <v>8.6355785837651123E-3</v>
      </c>
      <c r="G858" s="14">
        <v>65.454545454545396</v>
      </c>
      <c r="H858" s="2">
        <v>254</v>
      </c>
      <c r="I858" s="301">
        <v>1.4433458347539493E-2</v>
      </c>
      <c r="J858" s="14">
        <v>222.42424242424244</v>
      </c>
      <c r="K858" s="301">
        <v>10.043478260869565</v>
      </c>
      <c r="L858" s="2">
        <v>138</v>
      </c>
      <c r="M858" s="301">
        <v>3.2787664235310889E-3</v>
      </c>
      <c r="N858" s="2">
        <v>55.151515151515099</v>
      </c>
      <c r="O858" s="2">
        <v>195</v>
      </c>
      <c r="P858" s="301">
        <v>4.5181769735165318E-3</v>
      </c>
      <c r="Q858" s="14">
        <v>79.393939393939405</v>
      </c>
      <c r="R858" s="2">
        <v>254</v>
      </c>
      <c r="S858" s="301">
        <v>5.710560039569235E-3</v>
      </c>
      <c r="T858" s="14">
        <v>222.42424242424244</v>
      </c>
      <c r="U858" s="301">
        <v>0.84057971014492749</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1873</v>
      </c>
      <c r="B859" s="2">
        <v>143</v>
      </c>
      <c r="C859" s="301">
        <v>9.0180992621555142E-3</v>
      </c>
      <c r="D859" s="2">
        <v>48.484848484848399</v>
      </c>
      <c r="E859" s="2">
        <v>41</v>
      </c>
      <c r="F859" s="301">
        <v>2.4417842892025489E-3</v>
      </c>
      <c r="G859" s="14">
        <v>23.030303030302999</v>
      </c>
      <c r="H859" s="2">
        <v>39</v>
      </c>
      <c r="I859" s="301">
        <v>2.2161609273781109E-3</v>
      </c>
      <c r="J859" s="14">
        <v>25.454545454545457</v>
      </c>
      <c r="K859" s="301">
        <v>-0.72727272727272729</v>
      </c>
      <c r="L859" s="2">
        <v>176</v>
      </c>
      <c r="M859" s="301">
        <v>4.1816151488512435E-3</v>
      </c>
      <c r="N859" s="2">
        <v>52.121212121212103</v>
      </c>
      <c r="O859" s="2">
        <v>133</v>
      </c>
      <c r="P859" s="301">
        <v>3.0816283973215319E-3</v>
      </c>
      <c r="Q859" s="14">
        <v>63.030303030303003</v>
      </c>
      <c r="R859" s="2">
        <v>71</v>
      </c>
      <c r="S859" s="301">
        <v>1.5962589086984868E-3</v>
      </c>
      <c r="T859" s="14">
        <v>35.757575757575758</v>
      </c>
      <c r="U859" s="301">
        <v>-0.59659090909090906</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1874</v>
      </c>
      <c r="B860" s="2">
        <v>75</v>
      </c>
      <c r="C860" s="301">
        <v>4.7297723402913543E-3</v>
      </c>
      <c r="D860" s="2">
        <v>34.545454545454497</v>
      </c>
      <c r="E860" s="2">
        <v>72</v>
      </c>
      <c r="F860" s="301">
        <v>4.2880114346971589E-3</v>
      </c>
      <c r="G860" s="14">
        <v>46.6666666666666</v>
      </c>
      <c r="H860" s="2">
        <v>0</v>
      </c>
      <c r="I860" s="301">
        <v>0</v>
      </c>
      <c r="J860" s="14">
        <v>18.787878787878789</v>
      </c>
      <c r="K860" s="301">
        <v>-1</v>
      </c>
      <c r="L860" s="2">
        <v>116</v>
      </c>
      <c r="M860" s="301">
        <v>2.7560645299246835E-3</v>
      </c>
      <c r="N860" s="2">
        <v>40</v>
      </c>
      <c r="O860" s="2">
        <v>102</v>
      </c>
      <c r="P860" s="301">
        <v>2.363354109224032E-3</v>
      </c>
      <c r="Q860" s="14">
        <v>53.3333333333333</v>
      </c>
      <c r="R860" s="2">
        <v>26</v>
      </c>
      <c r="S860" s="301">
        <v>5.8454551586141772E-4</v>
      </c>
      <c r="T860" s="14">
        <v>18.787878787878789</v>
      </c>
      <c r="U860" s="301">
        <v>-0.77586206896551724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1875</v>
      </c>
      <c r="B861" s="2">
        <v>68</v>
      </c>
      <c r="C861" s="301">
        <v>4.2883269218641608E-3</v>
      </c>
      <c r="D861" s="2">
        <v>33.939393939393902</v>
      </c>
      <c r="E861" s="2">
        <v>45</v>
      </c>
      <c r="F861" s="301">
        <v>2.6800071466857246E-3</v>
      </c>
      <c r="G861" s="14">
        <v>20.606060606060598</v>
      </c>
      <c r="H861" s="2">
        <v>17</v>
      </c>
      <c r="I861" s="301">
        <v>9.6601886578020232E-4</v>
      </c>
      <c r="J861" s="14">
        <v>17.575757575757578</v>
      </c>
      <c r="K861" s="301">
        <v>-0.75</v>
      </c>
      <c r="L861" s="2">
        <v>93</v>
      </c>
      <c r="M861" s="301">
        <v>2.2096034593361686E-3</v>
      </c>
      <c r="N861" s="2">
        <v>38.787878787878697</v>
      </c>
      <c r="O861" s="2">
        <v>63</v>
      </c>
      <c r="P861" s="301">
        <v>1.4597187145207256E-3</v>
      </c>
      <c r="Q861" s="14">
        <v>27.272727272727199</v>
      </c>
      <c r="R861" s="2">
        <v>59</v>
      </c>
      <c r="S861" s="301">
        <v>1.3264686706086018E-3</v>
      </c>
      <c r="T861" s="14">
        <v>32.121212121212125</v>
      </c>
      <c r="U861" s="301">
        <v>-0.36559139784946237</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1876</v>
      </c>
      <c r="B862" s="2">
        <v>0</v>
      </c>
      <c r="C862" s="301">
        <v>0</v>
      </c>
      <c r="D862" s="2">
        <v>80</v>
      </c>
      <c r="E862" s="2">
        <v>59</v>
      </c>
      <c r="F862" s="301">
        <v>3.5137871478768388E-3</v>
      </c>
      <c r="G862" s="14">
        <v>27.272727272727199</v>
      </c>
      <c r="H862" s="2">
        <v>0</v>
      </c>
      <c r="I862" s="301">
        <v>0</v>
      </c>
      <c r="J862" s="14">
        <v>18.787878787878789</v>
      </c>
      <c r="L862" s="2">
        <v>0</v>
      </c>
      <c r="M862" s="301">
        <v>0</v>
      </c>
      <c r="N862" s="2">
        <v>80</v>
      </c>
      <c r="O862" s="2">
        <v>88</v>
      </c>
      <c r="P862" s="301">
        <v>2.0389721726638706E-3</v>
      </c>
      <c r="Q862" s="14">
        <v>36.969696969696898</v>
      </c>
      <c r="R862" s="2">
        <v>14</v>
      </c>
      <c r="S862" s="301">
        <v>3.1475527777153261E-4</v>
      </c>
      <c r="T862" s="14">
        <v>13.333333333333334</v>
      </c>
      <c r="V862" s="2">
        <v>17071</v>
      </c>
      <c r="W862" s="27">
        <v>1E-3</v>
      </c>
      <c r="X862" s="2">
        <v>641</v>
      </c>
      <c r="Y862" s="2">
        <v>12454</v>
      </c>
      <c r="Z862" s="27">
        <v>1E-3</v>
      </c>
      <c r="AA862" s="14">
        <v>459.39</v>
      </c>
      <c r="AB862" s="2">
        <v>19282</v>
      </c>
      <c r="AC862" s="27">
        <v>1E-3</v>
      </c>
      <c r="AD862" s="14">
        <v>781.21</v>
      </c>
      <c r="AE862" s="27">
        <v>0.13</v>
      </c>
    </row>
    <row r="863" spans="1:31" x14ac:dyDescent="0.3">
      <c r="A863" t="s">
        <v>1877</v>
      </c>
      <c r="B863" s="2">
        <v>0</v>
      </c>
      <c r="C863" s="301">
        <v>0</v>
      </c>
      <c r="D863" s="2">
        <v>80</v>
      </c>
      <c r="E863" s="2">
        <v>25</v>
      </c>
      <c r="F863" s="301">
        <v>1.488892859269847E-3</v>
      </c>
      <c r="G863" s="14">
        <v>18.181818181818102</v>
      </c>
      <c r="H863" s="2">
        <v>0</v>
      </c>
      <c r="I863" s="301">
        <v>0</v>
      </c>
      <c r="J863" s="14">
        <v>18.787878787878789</v>
      </c>
      <c r="L863" s="2">
        <v>14</v>
      </c>
      <c r="M863" s="301">
        <v>3.3262847774953076E-4</v>
      </c>
      <c r="N863" s="2">
        <v>14.545454545454501</v>
      </c>
      <c r="O863" s="2">
        <v>25</v>
      </c>
      <c r="P863" s="301">
        <v>5.7925345814314512E-4</v>
      </c>
      <c r="Q863" s="14">
        <v>18.181818181818102</v>
      </c>
      <c r="R863" s="2">
        <v>35</v>
      </c>
      <c r="S863" s="301">
        <v>7.8688819442883156E-4</v>
      </c>
      <c r="T863" s="14">
        <v>23.030303030303031</v>
      </c>
      <c r="U863" s="301">
        <v>1.5</v>
      </c>
      <c r="V863" s="2">
        <v>7599</v>
      </c>
      <c r="W863" s="27">
        <v>1E-3</v>
      </c>
      <c r="X863" s="2">
        <v>375</v>
      </c>
      <c r="Y863" s="2">
        <v>5778</v>
      </c>
      <c r="Z863" s="27">
        <v>0</v>
      </c>
      <c r="AA863" s="14">
        <v>326.67</v>
      </c>
      <c r="AB863" s="2">
        <v>11093</v>
      </c>
      <c r="AC863" s="27">
        <v>1E-3</v>
      </c>
      <c r="AD863" s="14">
        <v>616.36</v>
      </c>
      <c r="AE863" s="27">
        <v>0.46</v>
      </c>
    </row>
    <row r="864" spans="1:31" x14ac:dyDescent="0.3">
      <c r="A864" t="s">
        <v>1878</v>
      </c>
      <c r="B864" s="2">
        <v>0</v>
      </c>
      <c r="C864" s="301">
        <v>0</v>
      </c>
      <c r="D864" s="2">
        <v>80</v>
      </c>
      <c r="E864" s="2">
        <v>0</v>
      </c>
      <c r="F864" s="301">
        <v>0</v>
      </c>
      <c r="G864" s="14">
        <v>16.969696969696901</v>
      </c>
      <c r="H864" s="2">
        <v>13</v>
      </c>
      <c r="I864" s="301">
        <v>7.3872030912603705E-4</v>
      </c>
      <c r="J864" s="14">
        <v>12.727272727272728</v>
      </c>
      <c r="L864" s="2">
        <v>11</v>
      </c>
      <c r="M864" s="301">
        <v>2.6135094680320272E-4</v>
      </c>
      <c r="N864" s="2">
        <v>9.0909090909090899</v>
      </c>
      <c r="O864" s="2">
        <v>20</v>
      </c>
      <c r="P864" s="301">
        <v>4.634027665145161E-4</v>
      </c>
      <c r="Q864" s="14">
        <v>19.393939393939299</v>
      </c>
      <c r="R864" s="2">
        <v>13</v>
      </c>
      <c r="S864" s="301">
        <v>2.9227275793070886E-4</v>
      </c>
      <c r="T864" s="14">
        <v>12.727272727272728</v>
      </c>
      <c r="U864" s="301">
        <v>0.18181818181818182</v>
      </c>
      <c r="V864" s="2">
        <v>5781</v>
      </c>
      <c r="W864" s="27">
        <v>0</v>
      </c>
      <c r="X864" s="2">
        <v>350</v>
      </c>
      <c r="Y864" s="2">
        <v>5015</v>
      </c>
      <c r="Z864" s="27">
        <v>0</v>
      </c>
      <c r="AA864" s="14">
        <v>312.12</v>
      </c>
      <c r="AB864" s="2">
        <v>10009</v>
      </c>
      <c r="AC864" s="27">
        <v>1E-3</v>
      </c>
      <c r="AD864" s="14">
        <v>487.27</v>
      </c>
      <c r="AE864" s="27">
        <v>0.73099999999999998</v>
      </c>
    </row>
    <row r="865" spans="1:31" x14ac:dyDescent="0.3">
      <c r="A865" t="s">
        <v>1879</v>
      </c>
      <c r="B865" s="2">
        <v>0</v>
      </c>
      <c r="C865" s="301">
        <v>0</v>
      </c>
      <c r="D865" s="2">
        <v>80</v>
      </c>
      <c r="E865" s="2">
        <v>0</v>
      </c>
      <c r="F865" s="301">
        <v>0</v>
      </c>
      <c r="G865" s="14">
        <v>16.969696969696901</v>
      </c>
      <c r="H865" s="2">
        <v>0</v>
      </c>
      <c r="I865" s="301">
        <v>0</v>
      </c>
      <c r="J865" s="14">
        <v>18.787878787878789</v>
      </c>
      <c r="L865" s="2">
        <v>0</v>
      </c>
      <c r="M865" s="301">
        <v>0</v>
      </c>
      <c r="N865" s="2">
        <v>80</v>
      </c>
      <c r="O865" s="2">
        <v>0</v>
      </c>
      <c r="P865" s="301">
        <v>0</v>
      </c>
      <c r="Q865" s="14">
        <v>16.969696969696901</v>
      </c>
      <c r="R865" s="2">
        <v>0</v>
      </c>
      <c r="S865" s="301">
        <v>0</v>
      </c>
      <c r="T865" s="14">
        <v>18.787878787878789</v>
      </c>
      <c r="V865" s="2">
        <v>3181</v>
      </c>
      <c r="W865" s="27">
        <v>0</v>
      </c>
      <c r="X865" s="2">
        <v>245</v>
      </c>
      <c r="Y865" s="2">
        <v>3438</v>
      </c>
      <c r="Z865" s="27">
        <v>0</v>
      </c>
      <c r="AA865" s="14">
        <v>238.18</v>
      </c>
      <c r="AB865" s="2">
        <v>9549</v>
      </c>
      <c r="AC865" s="27">
        <v>1E-3</v>
      </c>
      <c r="AD865" s="14">
        <v>452.12</v>
      </c>
      <c r="AE865" s="27">
        <v>2.0019999999999998</v>
      </c>
    </row>
    <row r="866" spans="1:31" x14ac:dyDescent="0.3">
      <c r="A866" t="s">
        <v>1880</v>
      </c>
      <c r="B866" s="2">
        <v>6996</v>
      </c>
      <c r="C866" s="301">
        <v>0.44119316390237751</v>
      </c>
      <c r="D866" s="2">
        <v>259.39393939393898</v>
      </c>
      <c r="E866" s="2">
        <v>7431</v>
      </c>
      <c r="F866" s="301">
        <v>0.44255851348936931</v>
      </c>
      <c r="G866" s="14">
        <v>259.39393939393898</v>
      </c>
      <c r="H866" s="2">
        <v>7360</v>
      </c>
      <c r="I866" s="301">
        <v>0.41822934424366404</v>
      </c>
      <c r="J866" s="14">
        <v>304.24242424242425</v>
      </c>
      <c r="K866" s="301">
        <v>5.2029731275014292E-2</v>
      </c>
      <c r="L866" s="2">
        <v>14842</v>
      </c>
      <c r="M866" s="301">
        <v>0.35263370476846684</v>
      </c>
      <c r="N866" s="2">
        <v>382.42424242424198</v>
      </c>
      <c r="O866" s="2">
        <v>14480</v>
      </c>
      <c r="P866" s="301">
        <v>0.33550360295650966</v>
      </c>
      <c r="Q866" s="14">
        <v>367.27272727272702</v>
      </c>
      <c r="R866" s="2">
        <v>14645</v>
      </c>
      <c r="S866" s="301">
        <v>0.32925650306886395</v>
      </c>
      <c r="T866" s="14">
        <v>388.4848484848485</v>
      </c>
      <c r="U866" s="301">
        <v>-1.3273143781161569E-2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1864</v>
      </c>
      <c r="B867" s="2">
        <v>403</v>
      </c>
      <c r="C867" s="301">
        <v>2.5414643375165542E-2</v>
      </c>
      <c r="D867" s="2">
        <v>107.272727272727</v>
      </c>
      <c r="E867" s="2">
        <v>744</v>
      </c>
      <c r="F867" s="301">
        <v>4.4309451491870648E-2</v>
      </c>
      <c r="G867" s="14">
        <v>153.333333333333</v>
      </c>
      <c r="H867" s="2">
        <v>406</v>
      </c>
      <c r="I867" s="301">
        <v>2.3070803500397773E-2</v>
      </c>
      <c r="J867" s="14">
        <v>108.48484848484848</v>
      </c>
      <c r="K867" s="301">
        <v>7.4441687344913151E-3</v>
      </c>
      <c r="L867" s="2">
        <v>690</v>
      </c>
      <c r="M867" s="301">
        <v>1.6393832117655445E-2</v>
      </c>
      <c r="N867" s="2">
        <v>136.969696969696</v>
      </c>
      <c r="O867" s="2">
        <v>1154</v>
      </c>
      <c r="P867" s="301">
        <v>2.6738339627887579E-2</v>
      </c>
      <c r="Q867" s="14">
        <v>199.39393939393901</v>
      </c>
      <c r="R867" s="2">
        <v>689</v>
      </c>
      <c r="S867" s="301">
        <v>1.5490456170327571E-2</v>
      </c>
      <c r="T867" s="14">
        <v>146.66666666666669</v>
      </c>
      <c r="U867" s="301">
        <v>-1.4492753623188406E-3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1865</v>
      </c>
      <c r="B868" s="2">
        <v>464</v>
      </c>
      <c r="C868" s="301">
        <v>2.9261524878602511E-2</v>
      </c>
      <c r="D868" s="2">
        <v>94.545454545454504</v>
      </c>
      <c r="E868" s="2">
        <v>386</v>
      </c>
      <c r="F868" s="301">
        <v>2.2988505747126436E-2</v>
      </c>
      <c r="G868" s="14">
        <v>86.060606060606005</v>
      </c>
      <c r="H868" s="2">
        <v>329</v>
      </c>
      <c r="I868" s="301">
        <v>1.8695306284805091E-2</v>
      </c>
      <c r="J868" s="14">
        <v>101.81818181818183</v>
      </c>
      <c r="K868" s="301">
        <v>-0.29094827586206895</v>
      </c>
      <c r="L868" s="2">
        <v>862</v>
      </c>
      <c r="M868" s="301">
        <v>2.0480410558578251E-2</v>
      </c>
      <c r="N868" s="2">
        <v>126.666666666666</v>
      </c>
      <c r="O868" s="2">
        <v>605</v>
      </c>
      <c r="P868" s="301">
        <v>1.4017933687064112E-2</v>
      </c>
      <c r="Q868" s="14">
        <v>95.757575757575694</v>
      </c>
      <c r="R868" s="2">
        <v>603</v>
      </c>
      <c r="S868" s="301">
        <v>1.3556959464016726E-2</v>
      </c>
      <c r="T868" s="14">
        <v>132.12121212121212</v>
      </c>
      <c r="U868" s="301">
        <v>-0.30046403712296982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1866</v>
      </c>
      <c r="B869" s="2">
        <v>371</v>
      </c>
      <c r="C869" s="301">
        <v>2.3396607176641233E-2</v>
      </c>
      <c r="D869" s="2">
        <v>87.272727272727195</v>
      </c>
      <c r="E869" s="2">
        <v>505</v>
      </c>
      <c r="F869" s="301">
        <v>3.0075635757250908E-2</v>
      </c>
      <c r="G869" s="14">
        <v>115.757575757575</v>
      </c>
      <c r="H869" s="2">
        <v>328</v>
      </c>
      <c r="I869" s="301">
        <v>1.8638481645641549E-2</v>
      </c>
      <c r="J869" s="14">
        <v>87.27272727272728</v>
      </c>
      <c r="K869" s="301">
        <v>-0.11590296495956873</v>
      </c>
      <c r="L869" s="2">
        <v>748</v>
      </c>
      <c r="M869" s="301">
        <v>1.7771864382617786E-2</v>
      </c>
      <c r="N869" s="2">
        <v>127.272727272727</v>
      </c>
      <c r="O869" s="2">
        <v>921</v>
      </c>
      <c r="P869" s="301">
        <v>2.1339697397993466E-2</v>
      </c>
      <c r="Q869" s="14">
        <v>147.272727272727</v>
      </c>
      <c r="R869" s="2">
        <v>599</v>
      </c>
      <c r="S869" s="301">
        <v>1.3467029384653433E-2</v>
      </c>
      <c r="T869" s="14">
        <v>129.09090909090909</v>
      </c>
      <c r="U869" s="301">
        <v>-0.19919786096256684</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1867</v>
      </c>
      <c r="B870" s="2">
        <v>550</v>
      </c>
      <c r="C870" s="301">
        <v>3.4684997162136598E-2</v>
      </c>
      <c r="D870" s="2">
        <v>113.939393939393</v>
      </c>
      <c r="E870" s="2">
        <v>692</v>
      </c>
      <c r="F870" s="301">
        <v>4.1212554344589362E-2</v>
      </c>
      <c r="G870" s="14">
        <v>127.272727272727</v>
      </c>
      <c r="H870" s="2">
        <v>264</v>
      </c>
      <c r="I870" s="301">
        <v>1.5001704739174906E-2</v>
      </c>
      <c r="J870" s="14">
        <v>96.969696969696969</v>
      </c>
      <c r="K870" s="301">
        <v>-0.52</v>
      </c>
      <c r="L870" s="2">
        <v>931</v>
      </c>
      <c r="M870" s="301">
        <v>2.2119793770343794E-2</v>
      </c>
      <c r="N870" s="2">
        <v>147.87878787878699</v>
      </c>
      <c r="O870" s="2">
        <v>1156</v>
      </c>
      <c r="P870" s="301">
        <v>2.6784679904539029E-2</v>
      </c>
      <c r="Q870" s="14">
        <v>158.18181818181799</v>
      </c>
      <c r="R870" s="2">
        <v>505</v>
      </c>
      <c r="S870" s="301">
        <v>1.1353672519615998E-2</v>
      </c>
      <c r="T870" s="14">
        <v>123.63636363636364</v>
      </c>
      <c r="U870" s="301">
        <v>-0.45757250268528465</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1868</v>
      </c>
      <c r="B871" s="2">
        <v>566</v>
      </c>
      <c r="C871" s="301">
        <v>3.5694015261398752E-2</v>
      </c>
      <c r="D871" s="2">
        <v>112.72727272727199</v>
      </c>
      <c r="E871" s="2">
        <v>602</v>
      </c>
      <c r="F871" s="301">
        <v>3.5852540051217914E-2</v>
      </c>
      <c r="G871" s="14">
        <v>120.60606060606</v>
      </c>
      <c r="H871" s="2">
        <v>475</v>
      </c>
      <c r="I871" s="301">
        <v>2.6991703602682122E-2</v>
      </c>
      <c r="J871" s="14">
        <v>111.51515151515152</v>
      </c>
      <c r="K871" s="301">
        <v>-0.16077738515901061</v>
      </c>
      <c r="L871" s="2">
        <v>896</v>
      </c>
      <c r="M871" s="301">
        <v>2.1288222575969969E-2</v>
      </c>
      <c r="N871" s="2">
        <v>118.787878787878</v>
      </c>
      <c r="O871" s="2">
        <v>1151</v>
      </c>
      <c r="P871" s="301">
        <v>2.6668829212910403E-2</v>
      </c>
      <c r="Q871" s="14">
        <v>160.60606060606</v>
      </c>
      <c r="R871" s="2">
        <v>805</v>
      </c>
      <c r="S871" s="301">
        <v>1.8098428471863125E-2</v>
      </c>
      <c r="T871" s="14">
        <v>136.36363636363637</v>
      </c>
      <c r="U871" s="301">
        <v>-0.1015625</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1869</v>
      </c>
      <c r="B872" s="2">
        <v>524</v>
      </c>
      <c r="C872" s="301">
        <v>3.3045342750835593E-2</v>
      </c>
      <c r="D872" s="2">
        <v>108.484848484848</v>
      </c>
      <c r="E872" s="2">
        <v>401</v>
      </c>
      <c r="F872" s="301">
        <v>2.3881841462688343E-2</v>
      </c>
      <c r="G872" s="14">
        <v>101.212121212121</v>
      </c>
      <c r="H872" s="2">
        <v>594</v>
      </c>
      <c r="I872" s="301">
        <v>3.3753835663143536E-2</v>
      </c>
      <c r="J872" s="14">
        <v>166.66666666666669</v>
      </c>
      <c r="K872" s="301">
        <v>0.13358778625954199</v>
      </c>
      <c r="L872" s="2">
        <v>1170</v>
      </c>
      <c r="M872" s="301">
        <v>2.7798237069067928E-2</v>
      </c>
      <c r="N872" s="2">
        <v>155.75757575757501</v>
      </c>
      <c r="O872" s="2">
        <v>976</v>
      </c>
      <c r="P872" s="301">
        <v>2.2614055005908386E-2</v>
      </c>
      <c r="Q872" s="14">
        <v>134.54545454545399</v>
      </c>
      <c r="R872" s="2">
        <v>824</v>
      </c>
      <c r="S872" s="301">
        <v>1.8525596348838779E-2</v>
      </c>
      <c r="T872" s="14">
        <v>185.45454545454547</v>
      </c>
      <c r="U872" s="301">
        <v>-0.29572649572649573</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1870</v>
      </c>
      <c r="B873" s="2">
        <v>470</v>
      </c>
      <c r="C873" s="301">
        <v>2.9639906665825819E-2</v>
      </c>
      <c r="D873" s="2">
        <v>101.212121212121</v>
      </c>
      <c r="E873" s="2">
        <v>524</v>
      </c>
      <c r="F873" s="301">
        <v>3.1207194330295993E-2</v>
      </c>
      <c r="G873" s="14">
        <v>104.24242424242399</v>
      </c>
      <c r="H873" s="2">
        <v>481</v>
      </c>
      <c r="I873" s="301">
        <v>2.733265143766337E-2</v>
      </c>
      <c r="J873" s="14">
        <v>140.60606060606062</v>
      </c>
      <c r="K873" s="301">
        <v>2.3404255319148935E-2</v>
      </c>
      <c r="L873" s="2">
        <v>1001</v>
      </c>
      <c r="M873" s="301">
        <v>2.3782936159091449E-2</v>
      </c>
      <c r="N873" s="2">
        <v>153.333333333333</v>
      </c>
      <c r="O873" s="2">
        <v>898</v>
      </c>
      <c r="P873" s="301">
        <v>2.0806784216501773E-2</v>
      </c>
      <c r="Q873" s="14">
        <v>136.969696969696</v>
      </c>
      <c r="R873" s="2">
        <v>758</v>
      </c>
      <c r="S873" s="301">
        <v>1.7041750039344411E-2</v>
      </c>
      <c r="T873" s="14">
        <v>153.93939393939394</v>
      </c>
      <c r="U873" s="301">
        <v>-0.24275724275724275</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1871</v>
      </c>
      <c r="B874" s="2">
        <v>603</v>
      </c>
      <c r="C874" s="301">
        <v>3.8027369615942483E-2</v>
      </c>
      <c r="D874" s="2">
        <v>104.24242424242399</v>
      </c>
      <c r="E874" s="2">
        <v>555</v>
      </c>
      <c r="F874" s="301">
        <v>3.3053421475790601E-2</v>
      </c>
      <c r="G874" s="14">
        <v>115.151515151515</v>
      </c>
      <c r="H874" s="2">
        <v>407</v>
      </c>
      <c r="I874" s="301">
        <v>2.3127628139561315E-2</v>
      </c>
      <c r="J874" s="14">
        <v>110.90909090909092</v>
      </c>
      <c r="K874" s="301">
        <v>-0.3250414593698176</v>
      </c>
      <c r="L874" s="2">
        <v>1087</v>
      </c>
      <c r="M874" s="301">
        <v>2.5826225379552852E-2</v>
      </c>
      <c r="N874" s="2">
        <v>164.24242424242399</v>
      </c>
      <c r="O874" s="2">
        <v>897</v>
      </c>
      <c r="P874" s="301">
        <v>2.0783614078176048E-2</v>
      </c>
      <c r="Q874" s="14">
        <v>143.636363636363</v>
      </c>
      <c r="R874" s="2">
        <v>706</v>
      </c>
      <c r="S874" s="301">
        <v>1.5872659007621574E-2</v>
      </c>
      <c r="T874" s="14">
        <v>144.24242424242425</v>
      </c>
      <c r="U874" s="301">
        <v>-0.35050597976080955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1872</v>
      </c>
      <c r="B875" s="2">
        <v>274</v>
      </c>
      <c r="C875" s="301">
        <v>1.7279434949864413E-2</v>
      </c>
      <c r="D875" s="2">
        <v>86.6666666666666</v>
      </c>
      <c r="E875" s="2">
        <v>396</v>
      </c>
      <c r="F875" s="301">
        <v>2.3584062890834374E-2</v>
      </c>
      <c r="G875" s="14">
        <v>116.363636363636</v>
      </c>
      <c r="H875" s="2">
        <v>352</v>
      </c>
      <c r="I875" s="301">
        <v>2.0002272985566543E-2</v>
      </c>
      <c r="J875" s="14">
        <v>124.24242424242425</v>
      </c>
      <c r="K875" s="301">
        <v>0.28467153284671531</v>
      </c>
      <c r="L875" s="2">
        <v>531</v>
      </c>
      <c r="M875" s="301">
        <v>1.2616122977500059E-2</v>
      </c>
      <c r="N875" s="2">
        <v>111.515151515151</v>
      </c>
      <c r="O875" s="2">
        <v>684</v>
      </c>
      <c r="P875" s="301">
        <v>1.5848374614796452E-2</v>
      </c>
      <c r="Q875" s="14">
        <v>161.21212121212099</v>
      </c>
      <c r="R875" s="2">
        <v>759</v>
      </c>
      <c r="S875" s="301">
        <v>1.7064232559185235E-2</v>
      </c>
      <c r="T875" s="14">
        <v>148.4848484848485</v>
      </c>
      <c r="U875" s="301">
        <v>0.42937853107344631</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1873</v>
      </c>
      <c r="B876" s="2">
        <v>708</v>
      </c>
      <c r="C876" s="301">
        <v>4.4649050892350384E-2</v>
      </c>
      <c r="D876" s="2">
        <v>116.969696969697</v>
      </c>
      <c r="E876" s="2">
        <v>497</v>
      </c>
      <c r="F876" s="301">
        <v>2.9599190042284559E-2</v>
      </c>
      <c r="G876" s="14">
        <v>114.54545454545401</v>
      </c>
      <c r="H876" s="2">
        <v>520</v>
      </c>
      <c r="I876" s="301">
        <v>2.954881236504148E-2</v>
      </c>
      <c r="J876" s="14">
        <v>121.81818181818183</v>
      </c>
      <c r="K876" s="301">
        <v>-0.2655367231638418</v>
      </c>
      <c r="L876" s="2">
        <v>1433</v>
      </c>
      <c r="M876" s="301">
        <v>3.4046900615362682E-2</v>
      </c>
      <c r="N876" s="2">
        <v>161.21212121212099</v>
      </c>
      <c r="O876" s="2">
        <v>955</v>
      </c>
      <c r="P876" s="301">
        <v>2.2127482101068144E-2</v>
      </c>
      <c r="Q876" s="14">
        <v>147.87878787878699</v>
      </c>
      <c r="R876" s="2">
        <v>1088</v>
      </c>
      <c r="S876" s="301">
        <v>2.4460981586816252E-2</v>
      </c>
      <c r="T876" s="14">
        <v>170.90909090909091</v>
      </c>
      <c r="U876" s="301">
        <v>-0.24075366364270762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1874</v>
      </c>
      <c r="B877" s="2">
        <v>771</v>
      </c>
      <c r="C877" s="301">
        <v>4.8622059658195119E-2</v>
      </c>
      <c r="D877" s="2">
        <v>127.272727272727</v>
      </c>
      <c r="E877" s="2">
        <v>714</v>
      </c>
      <c r="F877" s="301">
        <v>4.2522780060746827E-2</v>
      </c>
      <c r="G877" s="14">
        <v>123.636363636363</v>
      </c>
      <c r="H877" s="2">
        <v>731</v>
      </c>
      <c r="I877" s="301">
        <v>4.1538811228548696E-2</v>
      </c>
      <c r="J877" s="14">
        <v>139.39393939393941</v>
      </c>
      <c r="K877" s="301">
        <v>-5.1880674448767837E-2</v>
      </c>
      <c r="L877" s="2">
        <v>1481</v>
      </c>
      <c r="M877" s="301">
        <v>3.5187341110503929E-2</v>
      </c>
      <c r="N877" s="2">
        <v>148.48484848484799</v>
      </c>
      <c r="O877" s="2">
        <v>1514</v>
      </c>
      <c r="P877" s="301">
        <v>3.5079589425148869E-2</v>
      </c>
      <c r="Q877" s="14">
        <v>168.48484848484799</v>
      </c>
      <c r="R877" s="2">
        <v>1909</v>
      </c>
      <c r="S877" s="301">
        <v>4.2919130376132555E-2</v>
      </c>
      <c r="T877" s="14">
        <v>224.24242424242425</v>
      </c>
      <c r="U877" s="301">
        <v>0.28899392302498311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1875</v>
      </c>
      <c r="B878" s="2">
        <v>617</v>
      </c>
      <c r="C878" s="301">
        <v>3.8910260452796872E-2</v>
      </c>
      <c r="D878" s="2">
        <v>124.84848484848401</v>
      </c>
      <c r="E878" s="2">
        <v>608</v>
      </c>
      <c r="F878" s="301">
        <v>3.6209874337442681E-2</v>
      </c>
      <c r="G878" s="14">
        <v>113.333333333333</v>
      </c>
      <c r="H878" s="2">
        <v>1026</v>
      </c>
      <c r="I878" s="301">
        <v>5.8302079781793387E-2</v>
      </c>
      <c r="J878" s="14">
        <v>206.06060606060606</v>
      </c>
      <c r="K878" s="301">
        <v>0.66288492706645052</v>
      </c>
      <c r="L878" s="2">
        <v>1605</v>
      </c>
      <c r="M878" s="301">
        <v>3.8133479056285488E-2</v>
      </c>
      <c r="N878" s="2">
        <v>175.75757575757501</v>
      </c>
      <c r="O878" s="2">
        <v>1365</v>
      </c>
      <c r="P878" s="301">
        <v>3.1627238814615724E-2</v>
      </c>
      <c r="Q878" s="14">
        <v>163.636363636363</v>
      </c>
      <c r="R878" s="2">
        <v>2043</v>
      </c>
      <c r="S878" s="301">
        <v>4.5931788034802939E-2</v>
      </c>
      <c r="T878" s="14">
        <v>273.93939393939394</v>
      </c>
      <c r="U878" s="301">
        <v>0.27289719626168224</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1876</v>
      </c>
      <c r="B879" s="2">
        <v>485</v>
      </c>
      <c r="C879" s="301">
        <v>3.058586113388409E-2</v>
      </c>
      <c r="D879" s="2">
        <v>101.212121212121</v>
      </c>
      <c r="E879" s="2">
        <v>491</v>
      </c>
      <c r="F879" s="301">
        <v>2.9241855756059795E-2</v>
      </c>
      <c r="G879" s="14">
        <v>102.424242424242</v>
      </c>
      <c r="H879" s="2">
        <v>637</v>
      </c>
      <c r="I879" s="301">
        <v>3.6197295147175818E-2</v>
      </c>
      <c r="J879" s="14">
        <v>132.12121212121212</v>
      </c>
      <c r="K879" s="301">
        <v>0.3134020618556701</v>
      </c>
      <c r="L879" s="2">
        <v>1357</v>
      </c>
      <c r="M879" s="301">
        <v>3.2241203164722371E-2</v>
      </c>
      <c r="N879" s="2">
        <v>144.24242424242399</v>
      </c>
      <c r="O879" s="2">
        <v>1048</v>
      </c>
      <c r="P879" s="301">
        <v>2.4282304965360643E-2</v>
      </c>
      <c r="Q879" s="14">
        <v>150.30303030303</v>
      </c>
      <c r="R879" s="2">
        <v>1320</v>
      </c>
      <c r="S879" s="301">
        <v>2.9676926189887362E-2</v>
      </c>
      <c r="T879" s="14">
        <v>176.36363636363637</v>
      </c>
      <c r="U879" s="301">
        <v>-2.7266028002947678E-2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1877</v>
      </c>
      <c r="B880" s="2">
        <v>96</v>
      </c>
      <c r="C880" s="301">
        <v>6.0541085955729329E-3</v>
      </c>
      <c r="D880" s="2">
        <v>38.787878787878697</v>
      </c>
      <c r="E880" s="2">
        <v>215</v>
      </c>
      <c r="F880" s="301">
        <v>1.2804478589720683E-2</v>
      </c>
      <c r="G880" s="14">
        <v>70.303030303030297</v>
      </c>
      <c r="H880" s="2">
        <v>435</v>
      </c>
      <c r="I880" s="301">
        <v>2.471871803614047E-2</v>
      </c>
      <c r="J880" s="14">
        <v>98.181818181818187</v>
      </c>
      <c r="K880" s="301">
        <v>3.53125</v>
      </c>
      <c r="L880" s="2">
        <v>415</v>
      </c>
      <c r="M880" s="301">
        <v>9.8600584475753757E-3</v>
      </c>
      <c r="N880" s="2">
        <v>72.727272727272705</v>
      </c>
      <c r="O880" s="2">
        <v>731</v>
      </c>
      <c r="P880" s="301">
        <v>1.6937371116105562E-2</v>
      </c>
      <c r="Q880" s="14">
        <v>103.636363636363</v>
      </c>
      <c r="R880" s="2">
        <v>974</v>
      </c>
      <c r="S880" s="301">
        <v>2.1897974324962342E-2</v>
      </c>
      <c r="T880" s="14">
        <v>133.33333333333334</v>
      </c>
      <c r="U880" s="301">
        <v>1.346987951807229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1878</v>
      </c>
      <c r="B881" s="2">
        <v>57</v>
      </c>
      <c r="C881" s="301">
        <v>3.5946269786214292E-3</v>
      </c>
      <c r="D881" s="2">
        <v>35.757575757575701</v>
      </c>
      <c r="E881" s="2">
        <v>90</v>
      </c>
      <c r="F881" s="301">
        <v>5.3600142933714493E-3</v>
      </c>
      <c r="G881" s="14">
        <v>38.787878787878697</v>
      </c>
      <c r="H881" s="2">
        <v>209</v>
      </c>
      <c r="I881" s="301">
        <v>1.1876349585180135E-2</v>
      </c>
      <c r="J881" s="14">
        <v>76.363636363636374</v>
      </c>
      <c r="K881" s="301">
        <v>2.6666666666666665</v>
      </c>
      <c r="L881" s="2">
        <v>323</v>
      </c>
      <c r="M881" s="301">
        <v>7.674214165221317E-3</v>
      </c>
      <c r="N881" s="2">
        <v>94.545454545454504</v>
      </c>
      <c r="O881" s="2">
        <v>306</v>
      </c>
      <c r="P881" s="301">
        <v>7.0900623276720963E-3</v>
      </c>
      <c r="Q881" s="14">
        <v>77.575757575757507</v>
      </c>
      <c r="R881" s="2">
        <v>519</v>
      </c>
      <c r="S881" s="301">
        <v>1.1668427797387531E-2</v>
      </c>
      <c r="T881" s="14">
        <v>129.09090909090909</v>
      </c>
      <c r="U881" s="301">
        <v>0.60681114551083593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1879</v>
      </c>
      <c r="B882" s="2">
        <v>37</v>
      </c>
      <c r="C882" s="301">
        <v>2.3333543545437348E-3</v>
      </c>
      <c r="D882" s="2">
        <v>21.818181818181799</v>
      </c>
      <c r="E882" s="2">
        <v>11</v>
      </c>
      <c r="F882" s="301">
        <v>6.5511285807873265E-4</v>
      </c>
      <c r="G882" s="14">
        <v>10.909090909090899</v>
      </c>
      <c r="H882" s="2">
        <v>166</v>
      </c>
      <c r="I882" s="301">
        <v>9.4328901011478585E-3</v>
      </c>
      <c r="J882" s="14">
        <v>79.393939393939405</v>
      </c>
      <c r="K882" s="301">
        <v>3.4864864864864864</v>
      </c>
      <c r="L882" s="2">
        <v>312</v>
      </c>
      <c r="M882" s="301">
        <v>7.4128632184181139E-3</v>
      </c>
      <c r="N882" s="2">
        <v>70.303030303030297</v>
      </c>
      <c r="O882" s="2">
        <v>119</v>
      </c>
      <c r="P882" s="301">
        <v>2.7572464607613706E-3</v>
      </c>
      <c r="Q882" s="14">
        <v>40.606060606060602</v>
      </c>
      <c r="R882" s="2">
        <v>544</v>
      </c>
      <c r="S882" s="301">
        <v>1.2230490793408126E-2</v>
      </c>
      <c r="T882" s="14">
        <v>113.93939393939395</v>
      </c>
      <c r="U882" s="301">
        <v>0.74358974358974361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1881</v>
      </c>
      <c r="B883" s="2">
        <v>5251</v>
      </c>
      <c r="C883" s="301">
        <v>0.33114712745159869</v>
      </c>
      <c r="D883" s="2">
        <v>226.666666666666</v>
      </c>
      <c r="E883" s="2">
        <v>5778</v>
      </c>
      <c r="F883" s="301">
        <v>0.34411291763444701</v>
      </c>
      <c r="G883" s="14">
        <v>253.333333333333</v>
      </c>
      <c r="H883" s="2">
        <v>6656</v>
      </c>
      <c r="I883" s="301">
        <v>0.37822479827253097</v>
      </c>
      <c r="J883" s="14">
        <v>264.84848484848487</v>
      </c>
      <c r="K883" s="301">
        <v>0.26756808227004381</v>
      </c>
      <c r="L883" s="2">
        <v>16749</v>
      </c>
      <c r="M883" s="301">
        <v>0.39794245527334932</v>
      </c>
      <c r="N883" s="2">
        <v>300.60606060606</v>
      </c>
      <c r="O883" s="2">
        <v>16447</v>
      </c>
      <c r="P883" s="301">
        <v>0.38107926504321232</v>
      </c>
      <c r="Q883" s="14">
        <v>337.575757575757</v>
      </c>
      <c r="R883" s="2">
        <v>16812</v>
      </c>
      <c r="S883" s="301">
        <v>0.37797612356392907</v>
      </c>
      <c r="T883" s="14">
        <v>325.4545454545455</v>
      </c>
      <c r="U883" s="301">
        <v>3.7614185921547557E-3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1864</v>
      </c>
      <c r="B884" s="2">
        <v>359</v>
      </c>
      <c r="C884" s="301">
        <v>2.2639843602194613E-2</v>
      </c>
      <c r="D884" s="2">
        <v>85.454545454545396</v>
      </c>
      <c r="E884" s="2">
        <v>501</v>
      </c>
      <c r="F884" s="301">
        <v>2.9837412899767733E-2</v>
      </c>
      <c r="G884" s="14">
        <v>100</v>
      </c>
      <c r="H884" s="2">
        <v>327</v>
      </c>
      <c r="I884" s="301">
        <v>1.8581657006478011E-2</v>
      </c>
      <c r="J884" s="14">
        <v>142.42424242424244</v>
      </c>
      <c r="K884" s="301">
        <v>-8.9136490250696379E-2</v>
      </c>
      <c r="L884" s="2">
        <v>956</v>
      </c>
      <c r="M884" s="301">
        <v>2.2713773194896529E-2</v>
      </c>
      <c r="N884" s="2">
        <v>133.333333333333</v>
      </c>
      <c r="O884" s="2">
        <v>1531</v>
      </c>
      <c r="P884" s="301">
        <v>3.547348177668621E-2</v>
      </c>
      <c r="Q884" s="14">
        <v>179.39393939393901</v>
      </c>
      <c r="R884" s="2">
        <v>778</v>
      </c>
      <c r="S884" s="301">
        <v>1.7491400436160886E-2</v>
      </c>
      <c r="T884" s="14">
        <v>166.06060606060606</v>
      </c>
      <c r="U884" s="301">
        <v>-0.18619246861924685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1865</v>
      </c>
      <c r="B885" s="2">
        <v>421</v>
      </c>
      <c r="C885" s="301">
        <v>2.6549788736835465E-2</v>
      </c>
      <c r="D885" s="2">
        <v>80</v>
      </c>
      <c r="E885" s="2">
        <v>358</v>
      </c>
      <c r="F885" s="301">
        <v>2.1320945744744208E-2</v>
      </c>
      <c r="G885" s="14">
        <v>87.272727272727195</v>
      </c>
      <c r="H885" s="2">
        <v>379</v>
      </c>
      <c r="I885" s="301">
        <v>2.1536538242982156E-2</v>
      </c>
      <c r="J885" s="14">
        <v>92.727272727272734</v>
      </c>
      <c r="K885" s="301">
        <v>-9.9762470308788598E-2</v>
      </c>
      <c r="L885" s="2">
        <v>992</v>
      </c>
      <c r="M885" s="301">
        <v>2.3569103566252466E-2</v>
      </c>
      <c r="N885" s="2">
        <v>138.78787878787799</v>
      </c>
      <c r="O885" s="2">
        <v>850</v>
      </c>
      <c r="P885" s="301">
        <v>1.9694617576866934E-2</v>
      </c>
      <c r="Q885" s="14">
        <v>118.787878787878</v>
      </c>
      <c r="R885" s="2">
        <v>694</v>
      </c>
      <c r="S885" s="301">
        <v>1.5602868769531689E-2</v>
      </c>
      <c r="T885" s="14">
        <v>126.66666666666667</v>
      </c>
      <c r="U885" s="301">
        <v>-0.30040322580645162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1866</v>
      </c>
      <c r="B886" s="2">
        <v>260</v>
      </c>
      <c r="C886" s="301">
        <v>1.6396544113010027E-2</v>
      </c>
      <c r="D886" s="2">
        <v>63.030303030303003</v>
      </c>
      <c r="E886" s="2">
        <v>184</v>
      </c>
      <c r="F886" s="301">
        <v>1.0958251444226073E-2</v>
      </c>
      <c r="G886" s="14">
        <v>69.696969696969703</v>
      </c>
      <c r="H886" s="2">
        <v>153</v>
      </c>
      <c r="I886" s="301">
        <v>8.6941697920218212E-3</v>
      </c>
      <c r="J886" s="14">
        <v>53.939393939393945</v>
      </c>
      <c r="K886" s="301">
        <v>-0.41153846153846152</v>
      </c>
      <c r="L886" s="2">
        <v>517</v>
      </c>
      <c r="M886" s="301">
        <v>1.2283494499750528E-2</v>
      </c>
      <c r="N886" s="2">
        <v>89.696969696969703</v>
      </c>
      <c r="O886" s="2">
        <v>468</v>
      </c>
      <c r="P886" s="301">
        <v>1.0843624736439676E-2</v>
      </c>
      <c r="Q886" s="14">
        <v>104.84848484848401</v>
      </c>
      <c r="R886" s="2">
        <v>386</v>
      </c>
      <c r="S886" s="301">
        <v>8.6782526585579712E-3</v>
      </c>
      <c r="T886" s="14">
        <v>70.303030303030312</v>
      </c>
      <c r="U886" s="301">
        <v>-0.25338491295938104</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1867</v>
      </c>
      <c r="B887" s="2">
        <v>336</v>
      </c>
      <c r="C887" s="301">
        <v>2.1189380084505265E-2</v>
      </c>
      <c r="D887" s="2">
        <v>86.6666666666666</v>
      </c>
      <c r="E887" s="2">
        <v>470</v>
      </c>
      <c r="F887" s="301">
        <v>2.7991185754273121E-2</v>
      </c>
      <c r="G887" s="14">
        <v>92.727272727272705</v>
      </c>
      <c r="H887" s="2">
        <v>301</v>
      </c>
      <c r="I887" s="301">
        <v>1.7104216388225936E-2</v>
      </c>
      <c r="J887" s="14">
        <v>80.606060606060609</v>
      </c>
      <c r="K887" s="301">
        <v>-0.10416666666666667</v>
      </c>
      <c r="L887" s="2">
        <v>937</v>
      </c>
      <c r="M887" s="301">
        <v>2.2262348832236451E-2</v>
      </c>
      <c r="N887" s="2">
        <v>122.424242424242</v>
      </c>
      <c r="O887" s="2">
        <v>1006</v>
      </c>
      <c r="P887" s="301">
        <v>2.3309159155680159E-2</v>
      </c>
      <c r="Q887" s="14">
        <v>133.333333333333</v>
      </c>
      <c r="R887" s="2">
        <v>535</v>
      </c>
      <c r="S887" s="301">
        <v>1.2028148114840711E-2</v>
      </c>
      <c r="T887" s="14">
        <v>100.60606060606061</v>
      </c>
      <c r="U887" s="301">
        <v>-0.42902881536819637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1868</v>
      </c>
      <c r="B888" s="2">
        <v>302</v>
      </c>
      <c r="C888" s="301">
        <v>1.9045216623573186E-2</v>
      </c>
      <c r="D888" s="2">
        <v>64.848484848484802</v>
      </c>
      <c r="E888" s="2">
        <v>310</v>
      </c>
      <c r="F888" s="301">
        <v>1.84622714549461E-2</v>
      </c>
      <c r="G888" s="14">
        <v>64.242424242424207</v>
      </c>
      <c r="H888" s="2">
        <v>404</v>
      </c>
      <c r="I888" s="301">
        <v>2.2957154222070689E-2</v>
      </c>
      <c r="J888" s="14">
        <v>122.42424242424244</v>
      </c>
      <c r="K888" s="301">
        <v>0.33774834437086093</v>
      </c>
      <c r="L888" s="2">
        <v>937</v>
      </c>
      <c r="M888" s="301">
        <v>2.2262348832236451E-2</v>
      </c>
      <c r="N888" s="2">
        <v>121.212121212121</v>
      </c>
      <c r="O888" s="2">
        <v>756</v>
      </c>
      <c r="P888" s="301">
        <v>1.7516624574248709E-2</v>
      </c>
      <c r="Q888" s="14">
        <v>116.363636363636</v>
      </c>
      <c r="R888" s="2">
        <v>660</v>
      </c>
      <c r="S888" s="301">
        <v>1.4838463094943681E-2</v>
      </c>
      <c r="T888" s="14">
        <v>148.4848484848485</v>
      </c>
      <c r="U888" s="301">
        <v>-0.29562433297758806</v>
      </c>
      <c r="V888" s="2">
        <v>171420</v>
      </c>
      <c r="W888" s="27">
        <v>1.4E-2</v>
      </c>
      <c r="X888" s="2">
        <v>1801</v>
      </c>
      <c r="Y888" s="2">
        <v>176440</v>
      </c>
      <c r="Z888" s="27">
        <v>1.4E-2</v>
      </c>
      <c r="AA888" s="14">
        <v>1646.06</v>
      </c>
      <c r="AB888" s="2">
        <v>134811</v>
      </c>
      <c r="AC888" s="27">
        <v>0.01</v>
      </c>
      <c r="AD888" s="14">
        <v>1673.33</v>
      </c>
      <c r="AE888" s="27">
        <v>-0.214</v>
      </c>
    </row>
    <row r="889" spans="1:31" x14ac:dyDescent="0.3">
      <c r="A889" t="s">
        <v>1869</v>
      </c>
      <c r="B889" s="2">
        <v>254</v>
      </c>
      <c r="C889" s="301">
        <v>1.601816232578672E-2</v>
      </c>
      <c r="D889" s="2">
        <v>68.484848484848399</v>
      </c>
      <c r="E889" s="2">
        <v>322</v>
      </c>
      <c r="F889" s="301">
        <v>1.9176940027395627E-2</v>
      </c>
      <c r="G889" s="14">
        <v>78.181818181818201</v>
      </c>
      <c r="H889" s="2">
        <v>280</v>
      </c>
      <c r="I889" s="301">
        <v>1.5910898965791568E-2</v>
      </c>
      <c r="J889" s="14">
        <v>106.06060606060606</v>
      </c>
      <c r="K889" s="301">
        <v>0.10236220472440945</v>
      </c>
      <c r="L889" s="2">
        <v>808</v>
      </c>
      <c r="M889" s="301">
        <v>1.9197415001544347E-2</v>
      </c>
      <c r="N889" s="2">
        <v>127.272727272727</v>
      </c>
      <c r="O889" s="2">
        <v>674</v>
      </c>
      <c r="P889" s="301">
        <v>1.5616673231539192E-2</v>
      </c>
      <c r="Q889" s="14">
        <v>113.939393939393</v>
      </c>
      <c r="R889" s="2">
        <v>613</v>
      </c>
      <c r="S889" s="301">
        <v>1.3781784662424964E-2</v>
      </c>
      <c r="T889" s="14">
        <v>135.75757575757575</v>
      </c>
      <c r="U889" s="301">
        <v>-0.24133663366336633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1870</v>
      </c>
      <c r="B890" s="2">
        <v>308</v>
      </c>
      <c r="C890" s="301">
        <v>1.9423598410796494E-2</v>
      </c>
      <c r="D890" s="2">
        <v>78.787878787878796</v>
      </c>
      <c r="E890" s="2">
        <v>302</v>
      </c>
      <c r="F890" s="301">
        <v>1.7985825739979752E-2</v>
      </c>
      <c r="G890" s="14">
        <v>77.575757575757507</v>
      </c>
      <c r="H890" s="2">
        <v>431</v>
      </c>
      <c r="I890" s="301">
        <v>2.4491419479486305E-2</v>
      </c>
      <c r="J890" s="14">
        <v>113.33333333333334</v>
      </c>
      <c r="K890" s="301">
        <v>0.39935064935064934</v>
      </c>
      <c r="L890" s="2">
        <v>980</v>
      </c>
      <c r="M890" s="301">
        <v>2.3283993442467153E-2</v>
      </c>
      <c r="N890" s="2">
        <v>140</v>
      </c>
      <c r="O890" s="2">
        <v>873</v>
      </c>
      <c r="P890" s="301">
        <v>2.0227530758358626E-2</v>
      </c>
      <c r="Q890" s="14">
        <v>115.757575757575</v>
      </c>
      <c r="R890" s="2">
        <v>875</v>
      </c>
      <c r="S890" s="301">
        <v>1.9672204860720788E-2</v>
      </c>
      <c r="T890" s="14">
        <v>144.84848484848484</v>
      </c>
      <c r="U890" s="301">
        <v>-0.10714285714285714</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1871</v>
      </c>
      <c r="B891" s="2">
        <v>198</v>
      </c>
      <c r="C891" s="301">
        <v>1.2486598978369174E-2</v>
      </c>
      <c r="D891" s="2">
        <v>61.212121212121197</v>
      </c>
      <c r="E891" s="2">
        <v>352</v>
      </c>
      <c r="F891" s="301">
        <v>2.0963611458519445E-2</v>
      </c>
      <c r="G891" s="14">
        <v>75.151515151515099</v>
      </c>
      <c r="H891" s="2">
        <v>191</v>
      </c>
      <c r="I891" s="301">
        <v>1.0853506080236391E-2</v>
      </c>
      <c r="J891" s="14">
        <v>69.696969696969703</v>
      </c>
      <c r="K891" s="301">
        <v>-3.5353535353535352E-2</v>
      </c>
      <c r="L891" s="2">
        <v>658</v>
      </c>
      <c r="M891" s="301">
        <v>1.5633538454227946E-2</v>
      </c>
      <c r="N891" s="2">
        <v>106.06060606060601</v>
      </c>
      <c r="O891" s="2">
        <v>791</v>
      </c>
      <c r="P891" s="301">
        <v>1.8327579415649112E-2</v>
      </c>
      <c r="Q891" s="14">
        <v>122.424242424242</v>
      </c>
      <c r="R891" s="2">
        <v>627</v>
      </c>
      <c r="S891" s="301">
        <v>1.4096539940196497E-2</v>
      </c>
      <c r="T891" s="14">
        <v>126.06060606060606</v>
      </c>
      <c r="U891" s="301">
        <v>-4.7112462006079027E-2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1872</v>
      </c>
      <c r="B892" s="2">
        <v>321</v>
      </c>
      <c r="C892" s="301">
        <v>2.0243425616446997E-2</v>
      </c>
      <c r="D892" s="2">
        <v>72.121212121212096</v>
      </c>
      <c r="E892" s="2">
        <v>298</v>
      </c>
      <c r="F892" s="301">
        <v>1.7747602882496577E-2</v>
      </c>
      <c r="G892" s="14">
        <v>78.787878787878796</v>
      </c>
      <c r="H892" s="2">
        <v>258</v>
      </c>
      <c r="I892" s="301">
        <v>1.4660756904193658E-2</v>
      </c>
      <c r="J892" s="14">
        <v>89.090909090909093</v>
      </c>
      <c r="K892" s="301">
        <v>-0.19626168224299065</v>
      </c>
      <c r="L892" s="2">
        <v>706</v>
      </c>
      <c r="M892" s="301">
        <v>1.6773978949369193E-2</v>
      </c>
      <c r="N892" s="2">
        <v>119.39393939393899</v>
      </c>
      <c r="O892" s="2">
        <v>737</v>
      </c>
      <c r="P892" s="301">
        <v>1.7076391946059918E-2</v>
      </c>
      <c r="Q892" s="14">
        <v>147.272727272727</v>
      </c>
      <c r="R892" s="2">
        <v>695</v>
      </c>
      <c r="S892" s="301">
        <v>1.5625351289372511E-2</v>
      </c>
      <c r="T892" s="14">
        <v>126.66666666666667</v>
      </c>
      <c r="U892" s="301">
        <v>-1.5580736543909348E-2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1873</v>
      </c>
      <c r="B893" s="2">
        <v>491</v>
      </c>
      <c r="C893" s="301">
        <v>3.0964242921107398E-2</v>
      </c>
      <c r="D893" s="2">
        <v>103.636363636363</v>
      </c>
      <c r="E893" s="2">
        <v>776</v>
      </c>
      <c r="F893" s="301">
        <v>4.6215234351736051E-2</v>
      </c>
      <c r="G893" s="14">
        <v>144.84848484848399</v>
      </c>
      <c r="H893" s="2">
        <v>521</v>
      </c>
      <c r="I893" s="301">
        <v>2.9605637004205022E-2</v>
      </c>
      <c r="J893" s="14">
        <v>131.51515151515153</v>
      </c>
      <c r="K893" s="301">
        <v>6.1099796334012219E-2</v>
      </c>
      <c r="L893" s="2">
        <v>1487</v>
      </c>
      <c r="M893" s="301">
        <v>3.532989617239659E-2</v>
      </c>
      <c r="N893" s="2">
        <v>155.15151515151501</v>
      </c>
      <c r="O893" s="2">
        <v>1733</v>
      </c>
      <c r="P893" s="301">
        <v>4.015384971848282E-2</v>
      </c>
      <c r="Q893" s="14">
        <v>211.51515151515099</v>
      </c>
      <c r="R893" s="2">
        <v>958</v>
      </c>
      <c r="S893" s="301">
        <v>2.1538254007509163E-2</v>
      </c>
      <c r="T893" s="14">
        <v>166.06060606060606</v>
      </c>
      <c r="U893" s="301">
        <v>-0.35574983187626091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1874</v>
      </c>
      <c r="B894" s="2">
        <v>687</v>
      </c>
      <c r="C894" s="301">
        <v>4.3324714637068801E-2</v>
      </c>
      <c r="D894" s="2">
        <v>116.969696969697</v>
      </c>
      <c r="E894" s="2">
        <v>544</v>
      </c>
      <c r="F894" s="301">
        <v>3.2398308617711868E-2</v>
      </c>
      <c r="G894" s="14">
        <v>93.3333333333333</v>
      </c>
      <c r="H894" s="2">
        <v>618</v>
      </c>
      <c r="I894" s="301">
        <v>3.511762700306853E-2</v>
      </c>
      <c r="J894" s="14">
        <v>105.45454545454545</v>
      </c>
      <c r="K894" s="301">
        <v>-0.10043668122270742</v>
      </c>
      <c r="L894" s="2">
        <v>1757</v>
      </c>
      <c r="M894" s="301">
        <v>4.1744873957566112E-2</v>
      </c>
      <c r="N894" s="2">
        <v>185.45454545454501</v>
      </c>
      <c r="O894" s="2">
        <v>1740</v>
      </c>
      <c r="P894" s="301">
        <v>4.0316040686762901E-2</v>
      </c>
      <c r="Q894" s="14">
        <v>159.39393939393901</v>
      </c>
      <c r="R894" s="2">
        <v>1740</v>
      </c>
      <c r="S894" s="301">
        <v>3.9119584523033345E-2</v>
      </c>
      <c r="T894" s="14">
        <v>201.81818181818184</v>
      </c>
      <c r="U894" s="301">
        <v>-9.6755833807626642E-3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1875</v>
      </c>
      <c r="B895" s="2">
        <v>548</v>
      </c>
      <c r="C895" s="301">
        <v>3.4558869899728825E-2</v>
      </c>
      <c r="D895" s="2">
        <v>107.272727272727</v>
      </c>
      <c r="E895" s="2">
        <v>548</v>
      </c>
      <c r="F895" s="301">
        <v>3.2636531475195046E-2</v>
      </c>
      <c r="G895" s="14">
        <v>102.424242424242</v>
      </c>
      <c r="H895" s="2">
        <v>1031</v>
      </c>
      <c r="I895" s="301">
        <v>5.8586202977611093E-2</v>
      </c>
      <c r="J895" s="14">
        <v>151.51515151515153</v>
      </c>
      <c r="K895" s="301">
        <v>0.88138686131386856</v>
      </c>
      <c r="L895" s="2">
        <v>1892</v>
      </c>
      <c r="M895" s="301">
        <v>4.4952362850150869E-2</v>
      </c>
      <c r="N895" s="2">
        <v>160</v>
      </c>
      <c r="O895" s="2">
        <v>1828</v>
      </c>
      <c r="P895" s="301">
        <v>4.235501285942677E-2</v>
      </c>
      <c r="Q895" s="14">
        <v>172.12121212121201</v>
      </c>
      <c r="R895" s="2">
        <v>2781</v>
      </c>
      <c r="S895" s="301">
        <v>6.2523887677330872E-2</v>
      </c>
      <c r="T895" s="14">
        <v>236.96969696969697</v>
      </c>
      <c r="U895" s="301">
        <v>0.46987315010570824</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1876</v>
      </c>
      <c r="B896" s="2">
        <v>258</v>
      </c>
      <c r="C896" s="301">
        <v>1.6270416850602258E-2</v>
      </c>
      <c r="D896" s="2">
        <v>70.909090909090907</v>
      </c>
      <c r="E896" s="2">
        <v>495</v>
      </c>
      <c r="F896" s="301">
        <v>2.948007861354297E-2</v>
      </c>
      <c r="G896" s="14">
        <v>90.909090909090907</v>
      </c>
      <c r="H896" s="2">
        <v>921</v>
      </c>
      <c r="I896" s="301">
        <v>5.233549266962155E-2</v>
      </c>
      <c r="J896" s="14">
        <v>165.45454545454547</v>
      </c>
      <c r="K896" s="301">
        <v>2.5697674418604652</v>
      </c>
      <c r="L896" s="2">
        <v>1583</v>
      </c>
      <c r="M896" s="301">
        <v>3.7610777162679083E-2</v>
      </c>
      <c r="N896" s="2">
        <v>147.272727272727</v>
      </c>
      <c r="O896" s="2">
        <v>1531</v>
      </c>
      <c r="P896" s="301">
        <v>3.547348177668621E-2</v>
      </c>
      <c r="Q896" s="14">
        <v>140.60606060606</v>
      </c>
      <c r="R896" s="2">
        <v>2082</v>
      </c>
      <c r="S896" s="301">
        <v>4.6808606308595069E-2</v>
      </c>
      <c r="T896" s="14">
        <v>252.12121212121212</v>
      </c>
      <c r="U896" s="301">
        <v>0.31522425773847124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1877</v>
      </c>
      <c r="B897" s="2">
        <v>199</v>
      </c>
      <c r="C897" s="301">
        <v>1.254966260957306E-2</v>
      </c>
      <c r="D897" s="2">
        <v>59.393939393939398</v>
      </c>
      <c r="E897" s="2">
        <v>133</v>
      </c>
      <c r="F897" s="301">
        <v>7.9209100113155854E-3</v>
      </c>
      <c r="G897" s="14">
        <v>43.636363636363598</v>
      </c>
      <c r="H897" s="2">
        <v>419</v>
      </c>
      <c r="I897" s="301">
        <v>2.3809523809523808E-2</v>
      </c>
      <c r="J897" s="14">
        <v>110.30303030303031</v>
      </c>
      <c r="K897" s="301">
        <v>1.1055276381909547</v>
      </c>
      <c r="L897" s="2">
        <v>1090</v>
      </c>
      <c r="M897" s="301">
        <v>2.5897502910499179E-2</v>
      </c>
      <c r="N897" s="2">
        <v>123.030303030303</v>
      </c>
      <c r="O897" s="2">
        <v>625</v>
      </c>
      <c r="P897" s="301">
        <v>1.4481336453578629E-2</v>
      </c>
      <c r="Q897" s="14">
        <v>80.606060606060595</v>
      </c>
      <c r="R897" s="2">
        <v>1293</v>
      </c>
      <c r="S897" s="301">
        <v>2.906989815418512E-2</v>
      </c>
      <c r="T897" s="14">
        <v>212.12121212121212</v>
      </c>
      <c r="U897" s="301">
        <v>0.18623853211009175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1878</v>
      </c>
      <c r="B898" s="2">
        <v>86</v>
      </c>
      <c r="C898" s="301">
        <v>5.4234722835340855E-3</v>
      </c>
      <c r="D898" s="2">
        <v>30.909090909090899</v>
      </c>
      <c r="E898" s="2">
        <v>108</v>
      </c>
      <c r="F898" s="301">
        <v>6.4320171520457388E-3</v>
      </c>
      <c r="G898" s="14">
        <v>37.5757575757575</v>
      </c>
      <c r="H898" s="2">
        <v>319</v>
      </c>
      <c r="I898" s="301">
        <v>1.8127059893169678E-2</v>
      </c>
      <c r="J898" s="14">
        <v>80.606060606060609</v>
      </c>
      <c r="K898" s="301">
        <v>2.7093023255813953</v>
      </c>
      <c r="L898" s="2">
        <v>587</v>
      </c>
      <c r="M898" s="301">
        <v>1.3946636888498183E-2</v>
      </c>
      <c r="N898" s="2">
        <v>106.666666666666</v>
      </c>
      <c r="O898" s="2">
        <v>724</v>
      </c>
      <c r="P898" s="301">
        <v>1.6775180147825482E-2</v>
      </c>
      <c r="Q898" s="14">
        <v>93.3333333333333</v>
      </c>
      <c r="R898" s="2">
        <v>1185</v>
      </c>
      <c r="S898" s="301">
        <v>2.6641786011376154E-2</v>
      </c>
      <c r="T898" s="14">
        <v>143.63636363636365</v>
      </c>
      <c r="U898" s="301">
        <v>1.018739352640545</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1879</v>
      </c>
      <c r="B899" s="2">
        <v>223</v>
      </c>
      <c r="C899" s="301">
        <v>1.4063189758466292E-2</v>
      </c>
      <c r="D899" s="2">
        <v>61.212121212121197</v>
      </c>
      <c r="E899" s="2">
        <v>77</v>
      </c>
      <c r="F899" s="301">
        <v>4.5857900065511287E-3</v>
      </c>
      <c r="G899" s="14">
        <v>40</v>
      </c>
      <c r="H899" s="2">
        <v>103</v>
      </c>
      <c r="I899" s="301">
        <v>5.8529378338447553E-3</v>
      </c>
      <c r="J899" s="14">
        <v>47.272727272727273</v>
      </c>
      <c r="K899" s="301">
        <v>-0.53811659192825112</v>
      </c>
      <c r="L899" s="2">
        <v>862</v>
      </c>
      <c r="M899" s="301">
        <v>2.0480410558578251E-2</v>
      </c>
      <c r="N899" s="2">
        <v>112.121212121212</v>
      </c>
      <c r="O899" s="2">
        <v>580</v>
      </c>
      <c r="P899" s="301">
        <v>1.3438680228920967E-2</v>
      </c>
      <c r="Q899" s="14">
        <v>101.212121212121</v>
      </c>
      <c r="R899" s="2">
        <v>910</v>
      </c>
      <c r="S899" s="301">
        <v>2.0459093055149622E-2</v>
      </c>
      <c r="T899" s="14">
        <v>112.12121212121212</v>
      </c>
      <c r="U899" s="301">
        <v>5.5684454756380508E-2</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1882</v>
      </c>
      <c r="B900" s="2">
        <v>2798</v>
      </c>
      <c r="C900" s="301">
        <v>0.17645204010846943</v>
      </c>
      <c r="D900" s="2">
        <v>164.84848484848399</v>
      </c>
      <c r="E900" s="2">
        <v>2743</v>
      </c>
      <c r="F900" s="301">
        <v>0.16336132451908761</v>
      </c>
      <c r="G900" s="14">
        <v>197.575757575757</v>
      </c>
      <c r="H900" s="2">
        <v>2908</v>
      </c>
      <c r="I900" s="301">
        <v>0.16524605068757814</v>
      </c>
      <c r="J900" s="14">
        <v>215.75757575757578</v>
      </c>
      <c r="K900" s="301">
        <v>3.9313795568263046E-2</v>
      </c>
      <c r="L900" s="2">
        <v>9035</v>
      </c>
      <c r="M900" s="301">
        <v>0.21466416403335789</v>
      </c>
      <c r="N900" s="2">
        <v>222.42424242424201</v>
      </c>
      <c r="O900" s="2">
        <v>10732</v>
      </c>
      <c r="P900" s="301">
        <v>0.24866192451168934</v>
      </c>
      <c r="Q900" s="14">
        <v>213.333333333333</v>
      </c>
      <c r="R900" s="2">
        <v>12038</v>
      </c>
      <c r="S900" s="301">
        <v>0.27064457384383644</v>
      </c>
      <c r="T900" s="14">
        <v>255.15151515151516</v>
      </c>
      <c r="U900" s="301">
        <v>0.33237410071942447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1864</v>
      </c>
      <c r="B901" s="2">
        <v>186</v>
      </c>
      <c r="C901" s="301">
        <v>1.1729835403922558E-2</v>
      </c>
      <c r="D901" s="2">
        <v>49.696969696969703</v>
      </c>
      <c r="E901" s="2">
        <v>155</v>
      </c>
      <c r="F901" s="301">
        <v>9.2311357274730502E-3</v>
      </c>
      <c r="G901" s="14">
        <v>46.6666666666666</v>
      </c>
      <c r="H901" s="2">
        <v>321</v>
      </c>
      <c r="I901" s="301">
        <v>1.8240709171496762E-2</v>
      </c>
      <c r="J901" s="14">
        <v>90.303030303030312</v>
      </c>
      <c r="K901" s="301">
        <v>0.72580645161290325</v>
      </c>
      <c r="L901" s="2">
        <v>541</v>
      </c>
      <c r="M901" s="301">
        <v>1.2853714747321153E-2</v>
      </c>
      <c r="N901" s="2">
        <v>101.818181818181</v>
      </c>
      <c r="O901" s="2">
        <v>694</v>
      </c>
      <c r="P901" s="301">
        <v>1.6080075998053708E-2</v>
      </c>
      <c r="Q901" s="14">
        <v>98.181818181818201</v>
      </c>
      <c r="R901" s="2">
        <v>669</v>
      </c>
      <c r="S901" s="301">
        <v>1.5040805773511095E-2</v>
      </c>
      <c r="T901" s="14">
        <v>123.63636363636364</v>
      </c>
      <c r="U901" s="301">
        <v>0.2365988909426987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1865</v>
      </c>
      <c r="B902" s="2">
        <v>477</v>
      </c>
      <c r="C902" s="301">
        <v>3.0081352084253013E-2</v>
      </c>
      <c r="D902" s="2">
        <v>76.363636363636303</v>
      </c>
      <c r="E902" s="2">
        <v>309</v>
      </c>
      <c r="F902" s="301">
        <v>1.8402715740575309E-2</v>
      </c>
      <c r="G902" s="14">
        <v>76.363636363636303</v>
      </c>
      <c r="H902" s="2">
        <v>323</v>
      </c>
      <c r="I902" s="301">
        <v>1.8354358449823843E-2</v>
      </c>
      <c r="J902" s="14">
        <v>77.575757575757578</v>
      </c>
      <c r="K902" s="301">
        <v>-0.32285115303983231</v>
      </c>
      <c r="L902" s="2">
        <v>945</v>
      </c>
      <c r="M902" s="301">
        <v>2.2452422248093327E-2</v>
      </c>
      <c r="N902" s="2">
        <v>103.636363636363</v>
      </c>
      <c r="O902" s="2">
        <v>900</v>
      </c>
      <c r="P902" s="301">
        <v>2.0853124493153224E-2</v>
      </c>
      <c r="Q902" s="14">
        <v>125.454545454545</v>
      </c>
      <c r="R902" s="2">
        <v>618</v>
      </c>
      <c r="S902" s="301">
        <v>1.3894197261629083E-2</v>
      </c>
      <c r="T902" s="14">
        <v>116.36363636363637</v>
      </c>
      <c r="U902" s="301">
        <v>-0.34603174603174602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1866</v>
      </c>
      <c r="B903" s="2">
        <v>312</v>
      </c>
      <c r="C903" s="301">
        <v>1.9675852935612033E-2</v>
      </c>
      <c r="D903" s="2">
        <v>74.545454545454504</v>
      </c>
      <c r="E903" s="2">
        <v>355</v>
      </c>
      <c r="F903" s="301">
        <v>2.1142278601631828E-2</v>
      </c>
      <c r="G903" s="2">
        <v>80.606060606060595</v>
      </c>
      <c r="H903" s="2">
        <v>264</v>
      </c>
      <c r="I903" s="301">
        <v>1.5001704739174906E-2</v>
      </c>
      <c r="J903" s="14">
        <v>72.121212121212125</v>
      </c>
      <c r="K903" s="301">
        <v>-0.15384615384615385</v>
      </c>
      <c r="L903" s="2">
        <v>862</v>
      </c>
      <c r="M903" s="301">
        <v>2.0480410558578251E-2</v>
      </c>
      <c r="N903" s="2">
        <v>123.636363636363</v>
      </c>
      <c r="O903" s="2">
        <v>926</v>
      </c>
      <c r="P903" s="301">
        <v>2.1455548089622096E-2</v>
      </c>
      <c r="Q903" s="2">
        <v>121.212121212121</v>
      </c>
      <c r="R903" s="2">
        <v>654</v>
      </c>
      <c r="S903" s="301">
        <v>1.4703567975898739E-2</v>
      </c>
      <c r="T903" s="14">
        <v>107.27272727272728</v>
      </c>
      <c r="U903" s="301">
        <v>-0.24129930394431554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1867</v>
      </c>
      <c r="B904" s="2">
        <v>209</v>
      </c>
      <c r="C904" s="301">
        <v>1.3180298921611907E-2</v>
      </c>
      <c r="D904" s="2">
        <v>53.939393939393902</v>
      </c>
      <c r="E904" s="2">
        <v>167</v>
      </c>
      <c r="F904" s="301">
        <v>9.9458042999225772E-3</v>
      </c>
      <c r="G904" s="14">
        <v>47.878787878787797</v>
      </c>
      <c r="H904" s="2">
        <v>152</v>
      </c>
      <c r="I904" s="301">
        <v>8.6373451528582793E-3</v>
      </c>
      <c r="J904" s="14">
        <v>61.81818181818182</v>
      </c>
      <c r="K904" s="301">
        <v>-0.27272727272727271</v>
      </c>
      <c r="L904" s="2">
        <v>677</v>
      </c>
      <c r="M904" s="301">
        <v>1.6084962816888024E-2</v>
      </c>
      <c r="N904" s="2">
        <v>80</v>
      </c>
      <c r="O904" s="2">
        <v>879</v>
      </c>
      <c r="P904" s="301">
        <v>2.0366551588312982E-2</v>
      </c>
      <c r="Q904" s="14">
        <v>123.030303030303</v>
      </c>
      <c r="R904" s="2">
        <v>658</v>
      </c>
      <c r="S904" s="301">
        <v>1.4793498055262033E-2</v>
      </c>
      <c r="T904" s="14">
        <v>110.30303030303031</v>
      </c>
      <c r="U904" s="301">
        <v>-2.8064992614475627E-2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1868</v>
      </c>
      <c r="B905" s="2">
        <v>278</v>
      </c>
      <c r="C905" s="301">
        <v>1.7531689474679951E-2</v>
      </c>
      <c r="D905" s="2">
        <v>57.5757575757575</v>
      </c>
      <c r="E905" s="2">
        <v>174</v>
      </c>
      <c r="F905" s="301">
        <v>1.0362694300518135E-2</v>
      </c>
      <c r="G905" s="14">
        <v>46.6666666666666</v>
      </c>
      <c r="H905" s="2">
        <v>325</v>
      </c>
      <c r="I905" s="301">
        <v>1.8468007728150927E-2</v>
      </c>
      <c r="J905" s="14">
        <v>98.181818181818187</v>
      </c>
      <c r="K905" s="301">
        <v>0.16906474820143885</v>
      </c>
      <c r="L905" s="2">
        <v>888</v>
      </c>
      <c r="M905" s="301">
        <v>2.1098149160113093E-2</v>
      </c>
      <c r="N905" s="2">
        <v>115.757575757575</v>
      </c>
      <c r="O905" s="2">
        <v>750</v>
      </c>
      <c r="P905" s="301">
        <v>1.7377603744294354E-2</v>
      </c>
      <c r="Q905" s="14">
        <v>109.69696969696901</v>
      </c>
      <c r="R905" s="2">
        <v>703</v>
      </c>
      <c r="S905" s="301">
        <v>1.5805211448099103E-2</v>
      </c>
      <c r="T905" s="14">
        <v>127.87878787878789</v>
      </c>
      <c r="U905" s="301">
        <v>-0.20833333333333334</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1869</v>
      </c>
      <c r="B906" s="2">
        <v>102</v>
      </c>
      <c r="C906" s="301">
        <v>6.4324903827962417E-3</v>
      </c>
      <c r="D906" s="2">
        <v>44.2424242424242</v>
      </c>
      <c r="E906" s="2">
        <v>207</v>
      </c>
      <c r="F906" s="301">
        <v>1.2328032874754332E-2</v>
      </c>
      <c r="G906" s="14">
        <v>56.363636363636303</v>
      </c>
      <c r="H906" s="2">
        <v>132</v>
      </c>
      <c r="I906" s="301">
        <v>7.5008523695874532E-3</v>
      </c>
      <c r="J906" s="14">
        <v>44.848484848484851</v>
      </c>
      <c r="K906" s="301">
        <v>0.29411764705882354</v>
      </c>
      <c r="L906" s="2">
        <v>639</v>
      </c>
      <c r="M906" s="301">
        <v>1.5182114091567868E-2</v>
      </c>
      <c r="N906" s="2">
        <v>83.030303030303003</v>
      </c>
      <c r="O906" s="2">
        <v>600</v>
      </c>
      <c r="P906" s="301">
        <v>1.3902082995435482E-2</v>
      </c>
      <c r="Q906" s="14">
        <v>86.060606060606005</v>
      </c>
      <c r="R906" s="2">
        <v>659</v>
      </c>
      <c r="S906" s="301">
        <v>1.4815980575102857E-2</v>
      </c>
      <c r="T906" s="14">
        <v>96.363636363636374</v>
      </c>
      <c r="U906" s="301">
        <v>3.1298904538341159E-2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1870</v>
      </c>
      <c r="B907" s="2">
        <v>117</v>
      </c>
      <c r="C907" s="301">
        <v>7.3784448508545123E-3</v>
      </c>
      <c r="D907" s="2">
        <v>39.393939393939398</v>
      </c>
      <c r="E907" s="2">
        <v>193</v>
      </c>
      <c r="F907" s="301">
        <v>1.1494252873563218E-2</v>
      </c>
      <c r="G907" s="14">
        <v>65.454545454545396</v>
      </c>
      <c r="H907" s="2">
        <v>181</v>
      </c>
      <c r="I907" s="301">
        <v>1.0285259688600978E-2</v>
      </c>
      <c r="J907" s="14">
        <v>62.424242424242429</v>
      </c>
      <c r="K907" s="301">
        <v>0.54700854700854706</v>
      </c>
      <c r="L907" s="2">
        <v>469</v>
      </c>
      <c r="M907" s="301">
        <v>1.1143054004609281E-2</v>
      </c>
      <c r="N907" s="2">
        <v>77.575757575757507</v>
      </c>
      <c r="O907" s="2">
        <v>675</v>
      </c>
      <c r="P907" s="301">
        <v>1.5639843369864917E-2</v>
      </c>
      <c r="Q907" s="14">
        <v>100</v>
      </c>
      <c r="R907" s="2">
        <v>696</v>
      </c>
      <c r="S907" s="301">
        <v>1.5647833809213335E-2</v>
      </c>
      <c r="T907" s="14">
        <v>113.93939393939395</v>
      </c>
      <c r="U907" s="301">
        <v>0.48400852878464817</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1871</v>
      </c>
      <c r="B908" s="2">
        <v>154</v>
      </c>
      <c r="C908" s="301">
        <v>9.7117992053982471E-3</v>
      </c>
      <c r="D908" s="2">
        <v>49.696969696969703</v>
      </c>
      <c r="E908" s="2">
        <v>118</v>
      </c>
      <c r="F908" s="301">
        <v>7.0275742957536776E-3</v>
      </c>
      <c r="G908" s="14">
        <v>40</v>
      </c>
      <c r="H908" s="2">
        <v>102</v>
      </c>
      <c r="I908" s="301">
        <v>5.7961131946812142E-3</v>
      </c>
      <c r="J908" s="14">
        <v>44.242424242424242</v>
      </c>
      <c r="K908" s="301">
        <v>-0.33766233766233766</v>
      </c>
      <c r="L908" s="2">
        <v>552</v>
      </c>
      <c r="M908" s="301">
        <v>1.3115065694124356E-2</v>
      </c>
      <c r="N908" s="2">
        <v>98.181818181818201</v>
      </c>
      <c r="O908" s="2">
        <v>541</v>
      </c>
      <c r="P908" s="301">
        <v>1.2535044834217661E-2</v>
      </c>
      <c r="Q908" s="14">
        <v>81.212121212121204</v>
      </c>
      <c r="R908" s="2">
        <v>483</v>
      </c>
      <c r="S908" s="301">
        <v>1.0859057083117876E-2</v>
      </c>
      <c r="T908" s="14">
        <v>102.42424242424244</v>
      </c>
      <c r="U908" s="301">
        <v>-0.125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1872</v>
      </c>
      <c r="B909" s="2">
        <v>167</v>
      </c>
      <c r="C909" s="301">
        <v>1.0531626411048748E-2</v>
      </c>
      <c r="D909" s="2">
        <v>55.757575757575701</v>
      </c>
      <c r="E909" s="2">
        <v>172</v>
      </c>
      <c r="F909" s="301">
        <v>1.0243582871776546E-2</v>
      </c>
      <c r="G909" s="14">
        <v>60.606060606060602</v>
      </c>
      <c r="H909" s="2">
        <v>160</v>
      </c>
      <c r="I909" s="301">
        <v>9.09194226616661E-3</v>
      </c>
      <c r="J909" s="14">
        <v>72.727272727272734</v>
      </c>
      <c r="K909" s="301">
        <v>-4.1916167664670656E-2</v>
      </c>
      <c r="L909" s="2">
        <v>502</v>
      </c>
      <c r="M909" s="301">
        <v>1.1927106845018888E-2</v>
      </c>
      <c r="N909" s="2">
        <v>81.818181818181799</v>
      </c>
      <c r="O909" s="2">
        <v>484</v>
      </c>
      <c r="P909" s="301">
        <v>1.121434694965129E-2</v>
      </c>
      <c r="Q909" s="14">
        <v>86.060606060606005</v>
      </c>
      <c r="R909" s="2">
        <v>501</v>
      </c>
      <c r="S909" s="301">
        <v>1.1263742440252704E-2</v>
      </c>
      <c r="T909" s="14">
        <v>93.333333333333343</v>
      </c>
      <c r="U909" s="301">
        <v>-1.9920318725099601E-3</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1873</v>
      </c>
      <c r="B910" s="2">
        <v>176</v>
      </c>
      <c r="C910" s="301">
        <v>1.1099199091883711E-2</v>
      </c>
      <c r="D910" s="2">
        <v>50.303030303030297</v>
      </c>
      <c r="E910" s="2">
        <v>204</v>
      </c>
      <c r="F910" s="301">
        <v>1.2149365731641951E-2</v>
      </c>
      <c r="G910" s="14">
        <v>44.848484848484802</v>
      </c>
      <c r="H910" s="2">
        <v>137</v>
      </c>
      <c r="I910" s="301">
        <v>7.7849755654051597E-3</v>
      </c>
      <c r="J910" s="14">
        <v>52.727272727272727</v>
      </c>
      <c r="K910" s="301">
        <v>-0.22159090909090909</v>
      </c>
      <c r="L910" s="2">
        <v>733</v>
      </c>
      <c r="M910" s="301">
        <v>1.7415476727886146E-2</v>
      </c>
      <c r="N910" s="2">
        <v>113.333333333333</v>
      </c>
      <c r="O910" s="2">
        <v>983</v>
      </c>
      <c r="P910" s="301">
        <v>2.2776245974188467E-2</v>
      </c>
      <c r="Q910" s="14">
        <v>138.78787878787799</v>
      </c>
      <c r="R910" s="2">
        <v>1065</v>
      </c>
      <c r="S910" s="301">
        <v>2.3943883630477305E-2</v>
      </c>
      <c r="T910" s="14">
        <v>167.27272727272728</v>
      </c>
      <c r="U910" s="301">
        <v>0.45293315143246932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1874</v>
      </c>
      <c r="B911" s="2">
        <v>226</v>
      </c>
      <c r="C911" s="301">
        <v>1.4252380652077947E-2</v>
      </c>
      <c r="D911" s="2">
        <v>59.393939393939398</v>
      </c>
      <c r="E911" s="2">
        <v>221</v>
      </c>
      <c r="F911" s="301">
        <v>1.3161812875945447E-2</v>
      </c>
      <c r="G911" s="14">
        <v>56.363636363636303</v>
      </c>
      <c r="H911" s="2">
        <v>212</v>
      </c>
      <c r="I911" s="301">
        <v>1.2046823502670757E-2</v>
      </c>
      <c r="J911" s="14">
        <v>50.909090909090914</v>
      </c>
      <c r="K911" s="301">
        <v>-6.1946902654867256E-2</v>
      </c>
      <c r="L911" s="2">
        <v>771</v>
      </c>
      <c r="M911" s="301">
        <v>1.8318325453206302E-2</v>
      </c>
      <c r="N911" s="2">
        <v>101.818181818181</v>
      </c>
      <c r="O911" s="2">
        <v>1108</v>
      </c>
      <c r="P911" s="301">
        <v>2.567251326490419E-2</v>
      </c>
      <c r="Q911" s="14">
        <v>123.030303030303</v>
      </c>
      <c r="R911" s="2">
        <v>1122</v>
      </c>
      <c r="S911" s="301">
        <v>2.5225387261404258E-2</v>
      </c>
      <c r="T911" s="14">
        <v>123.03030303030303</v>
      </c>
      <c r="U911" s="301">
        <v>0.45525291828793774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1875</v>
      </c>
      <c r="B912" s="2">
        <v>211</v>
      </c>
      <c r="C912" s="301">
        <v>1.3306426184019676E-2</v>
      </c>
      <c r="D912" s="2">
        <v>61.212121212121197</v>
      </c>
      <c r="E912" s="2">
        <v>192</v>
      </c>
      <c r="F912" s="301">
        <v>1.1434697159192424E-2</v>
      </c>
      <c r="G912" s="14">
        <v>57.5757575757575</v>
      </c>
      <c r="H912" s="2">
        <v>287</v>
      </c>
      <c r="I912" s="301">
        <v>1.6308671439936355E-2</v>
      </c>
      <c r="J912" s="14">
        <v>96.363636363636374</v>
      </c>
      <c r="K912" s="301">
        <v>0.36018957345971564</v>
      </c>
      <c r="L912" s="2">
        <v>662</v>
      </c>
      <c r="M912" s="301">
        <v>1.5728575162156384E-2</v>
      </c>
      <c r="N912" s="2">
        <v>90.909090909090907</v>
      </c>
      <c r="O912" s="2">
        <v>872</v>
      </c>
      <c r="P912" s="301">
        <v>2.0204360620032901E-2</v>
      </c>
      <c r="Q912" s="14">
        <v>100.60606060606</v>
      </c>
      <c r="R912" s="2">
        <v>1482</v>
      </c>
      <c r="S912" s="301">
        <v>3.3319094404100809E-2</v>
      </c>
      <c r="T912" s="14">
        <v>169.69696969696972</v>
      </c>
      <c r="U912" s="301">
        <v>1.2386706948640482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1876</v>
      </c>
      <c r="B913" s="2">
        <v>56</v>
      </c>
      <c r="C913" s="301">
        <v>3.5315633474175441E-3</v>
      </c>
      <c r="D913" s="2">
        <v>29.696969696969699</v>
      </c>
      <c r="E913" s="2">
        <v>116</v>
      </c>
      <c r="F913" s="301">
        <v>6.9084628670120895E-3</v>
      </c>
      <c r="G913" s="14">
        <v>40</v>
      </c>
      <c r="H913" s="2">
        <v>91</v>
      </c>
      <c r="I913" s="301">
        <v>5.1710421638822592E-3</v>
      </c>
      <c r="J913" s="14">
        <v>35.151515151515156</v>
      </c>
      <c r="K913" s="301">
        <v>0.625</v>
      </c>
      <c r="L913" s="2">
        <v>412</v>
      </c>
      <c r="M913" s="301">
        <v>9.7887809166290474E-3</v>
      </c>
      <c r="N913" s="2">
        <v>65.454545454545396</v>
      </c>
      <c r="O913" s="2">
        <v>480</v>
      </c>
      <c r="P913" s="301">
        <v>1.1121666396348387E-2</v>
      </c>
      <c r="Q913" s="14">
        <v>72.121212121212096</v>
      </c>
      <c r="R913" s="2">
        <v>1017</v>
      </c>
      <c r="S913" s="301">
        <v>2.2864722678117764E-2</v>
      </c>
      <c r="T913" s="14">
        <v>135.75757575757575</v>
      </c>
      <c r="U913" s="301">
        <v>1.4684466019417475</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1877</v>
      </c>
      <c r="B914" s="2">
        <v>72</v>
      </c>
      <c r="C914" s="301">
        <v>4.5405814466796994E-3</v>
      </c>
      <c r="D914" s="2">
        <v>29.696969696969699</v>
      </c>
      <c r="E914" s="2">
        <v>64</v>
      </c>
      <c r="F914" s="301">
        <v>3.8115657197308082E-3</v>
      </c>
      <c r="G914" s="14">
        <v>29.696969696969699</v>
      </c>
      <c r="H914" s="2">
        <v>119</v>
      </c>
      <c r="I914" s="301">
        <v>6.7621320604614159E-3</v>
      </c>
      <c r="J914" s="14">
        <v>56.363636363636367</v>
      </c>
      <c r="K914" s="301">
        <v>0.65277777777777779</v>
      </c>
      <c r="L914" s="2">
        <v>166</v>
      </c>
      <c r="M914" s="301">
        <v>3.9440233790301506E-3</v>
      </c>
      <c r="N914" s="2">
        <v>44.2424242424242</v>
      </c>
      <c r="O914" s="2">
        <v>314</v>
      </c>
      <c r="P914" s="301">
        <v>7.2754234342779023E-3</v>
      </c>
      <c r="Q914" s="14">
        <v>62.424242424242401</v>
      </c>
      <c r="R914" s="2">
        <v>658</v>
      </c>
      <c r="S914" s="301">
        <v>1.4793498055262033E-2</v>
      </c>
      <c r="T914" s="14">
        <v>127.87878787878789</v>
      </c>
      <c r="U914" s="301">
        <v>2.963855421686747</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1878</v>
      </c>
      <c r="B915" s="2">
        <v>41</v>
      </c>
      <c r="C915" s="301">
        <v>2.5856088793592734E-3</v>
      </c>
      <c r="D915" s="2">
        <v>27.272727272727199</v>
      </c>
      <c r="E915" s="2">
        <v>65</v>
      </c>
      <c r="F915" s="301">
        <v>3.8711214341016023E-3</v>
      </c>
      <c r="G915" s="14">
        <v>29.090909090909101</v>
      </c>
      <c r="H915" s="2">
        <v>52</v>
      </c>
      <c r="I915" s="301">
        <v>2.9548812365041482E-3</v>
      </c>
      <c r="J915" s="14">
        <v>28.484848484848488</v>
      </c>
      <c r="K915" s="301">
        <v>0.26829268292682928</v>
      </c>
      <c r="L915" s="2">
        <v>136</v>
      </c>
      <c r="M915" s="301">
        <v>3.23124806956687E-3</v>
      </c>
      <c r="N915" s="2">
        <v>46.6666666666666</v>
      </c>
      <c r="O915" s="2">
        <v>266</v>
      </c>
      <c r="P915" s="301">
        <v>6.1632567946430638E-3</v>
      </c>
      <c r="Q915" s="14">
        <v>63.030303030303003</v>
      </c>
      <c r="R915" s="2">
        <v>629</v>
      </c>
      <c r="S915" s="301">
        <v>1.4141504979878145E-2</v>
      </c>
      <c r="T915" s="14">
        <v>111.51515151515152</v>
      </c>
      <c r="U915" s="301">
        <v>3.625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1879</v>
      </c>
      <c r="B916" s="2">
        <v>14</v>
      </c>
      <c r="C916" s="301">
        <v>8.8289083685438603E-4</v>
      </c>
      <c r="D916" s="2">
        <v>13.3333333333333</v>
      </c>
      <c r="E916" s="2">
        <v>31</v>
      </c>
      <c r="F916" s="301">
        <v>1.8462271454946103E-3</v>
      </c>
      <c r="G916" s="14">
        <v>21.2121212121212</v>
      </c>
      <c r="H916" s="2">
        <v>50</v>
      </c>
      <c r="I916" s="301">
        <v>2.8412319581770655E-3</v>
      </c>
      <c r="J916" s="14">
        <v>32.727272727272727</v>
      </c>
      <c r="K916" s="301">
        <v>2.5714285714285716</v>
      </c>
      <c r="L916" s="2">
        <v>80</v>
      </c>
      <c r="M916" s="301">
        <v>1.9007341585687472E-3</v>
      </c>
      <c r="N916" s="2">
        <v>30.303030303030301</v>
      </c>
      <c r="O916" s="2">
        <v>260</v>
      </c>
      <c r="P916" s="301">
        <v>6.0242359646887093E-3</v>
      </c>
      <c r="Q916" s="14">
        <v>45.454545454545404</v>
      </c>
      <c r="R916" s="2">
        <v>424</v>
      </c>
      <c r="S916" s="301">
        <v>9.5325884125092748E-3</v>
      </c>
      <c r="T916" s="14">
        <v>82.424242424242422</v>
      </c>
      <c r="U916" s="301">
        <v>4.3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1883</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1706</v>
      </c>
      <c r="C919" s="304"/>
      <c r="D919" s="304" t="s">
        <v>1707</v>
      </c>
      <c r="E919" s="304" t="s">
        <v>1706</v>
      </c>
      <c r="F919" s="304"/>
      <c r="G919" s="304" t="s">
        <v>1707</v>
      </c>
      <c r="H919" s="304" t="s">
        <v>1706</v>
      </c>
      <c r="I919" s="304"/>
      <c r="J919" s="304" t="s">
        <v>1707</v>
      </c>
      <c r="K919" t="s">
        <v>172</v>
      </c>
      <c r="L919" s="304" t="s">
        <v>1706</v>
      </c>
      <c r="M919" s="304"/>
      <c r="N919" s="304" t="s">
        <v>1707</v>
      </c>
      <c r="O919" s="304" t="s">
        <v>1706</v>
      </c>
      <c r="P919" s="304"/>
      <c r="Q919" s="304" t="s">
        <v>1707</v>
      </c>
      <c r="R919" s="304" t="s">
        <v>1706</v>
      </c>
      <c r="S919" s="304"/>
      <c r="T919" s="304" t="s">
        <v>1707</v>
      </c>
      <c r="U919" t="s">
        <v>172</v>
      </c>
      <c r="V919" s="207" t="s">
        <v>1706</v>
      </c>
      <c r="W919" s="207"/>
      <c r="X919" s="207" t="s">
        <v>1707</v>
      </c>
      <c r="Y919" s="207" t="s">
        <v>1706</v>
      </c>
      <c r="Z919" s="207"/>
      <c r="AA919" s="207" t="s">
        <v>1707</v>
      </c>
      <c r="AB919" s="207" t="s">
        <v>1706</v>
      </c>
      <c r="AC919" s="207"/>
      <c r="AD919" s="207" t="s">
        <v>1707</v>
      </c>
      <c r="AE919" t="s">
        <v>172</v>
      </c>
    </row>
    <row r="920" spans="1:31" x14ac:dyDescent="0.3">
      <c r="A920" t="s">
        <v>1480</v>
      </c>
      <c r="B920" s="14">
        <v>0.42</v>
      </c>
      <c r="C920" t="s">
        <v>172</v>
      </c>
      <c r="D920" s="14">
        <v>1.266666666666E-2</v>
      </c>
      <c r="E920" s="14">
        <v>0.41920000000000002</v>
      </c>
      <c r="F920" t="s">
        <v>172</v>
      </c>
      <c r="G920" s="14">
        <v>1.060606060606E-2</v>
      </c>
      <c r="H920" s="14">
        <v>0.42020000000000002</v>
      </c>
      <c r="I920" t="s">
        <v>172</v>
      </c>
      <c r="J920" s="14">
        <v>1.33939395E-2</v>
      </c>
      <c r="K920" s="301">
        <v>4.7619047619055593E-4</v>
      </c>
      <c r="L920" s="14">
        <v>0.441</v>
      </c>
      <c r="M920" t="s">
        <v>172</v>
      </c>
      <c r="N920" s="14">
        <v>6.4848484848400003E-3</v>
      </c>
      <c r="O920" s="14">
        <v>0.45090000000000002</v>
      </c>
      <c r="P920" t="s">
        <v>172</v>
      </c>
      <c r="Q920" s="14">
        <v>8.1818181818099998E-3</v>
      </c>
      <c r="R920" s="14">
        <v>0.42720000000000002</v>
      </c>
      <c r="S920" t="s">
        <v>172</v>
      </c>
      <c r="T920" s="14">
        <v>7.8181819999999999E-3</v>
      </c>
      <c r="U920" s="301">
        <v>-3.1292517006802675E-2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1884</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1706</v>
      </c>
      <c r="C923" s="304"/>
      <c r="D923" s="304" t="s">
        <v>1707</v>
      </c>
      <c r="E923" s="304" t="s">
        <v>1706</v>
      </c>
      <c r="F923" s="304"/>
      <c r="G923" s="304" t="s">
        <v>1707</v>
      </c>
      <c r="H923" s="304" t="s">
        <v>1706</v>
      </c>
      <c r="I923" s="304"/>
      <c r="J923" s="304" t="s">
        <v>1707</v>
      </c>
      <c r="K923" t="s">
        <v>172</v>
      </c>
      <c r="L923" s="304" t="s">
        <v>1706</v>
      </c>
      <c r="M923" s="304"/>
      <c r="N923" s="304" t="s">
        <v>1707</v>
      </c>
      <c r="O923" s="304" t="s">
        <v>1706</v>
      </c>
      <c r="P923" s="304"/>
      <c r="Q923" s="304" t="s">
        <v>1707</v>
      </c>
      <c r="R923" s="304" t="s">
        <v>1706</v>
      </c>
      <c r="S923" s="304"/>
      <c r="T923" s="304" t="s">
        <v>1707</v>
      </c>
      <c r="U923" t="s">
        <v>172</v>
      </c>
      <c r="V923" s="207" t="s">
        <v>1706</v>
      </c>
      <c r="W923" s="207"/>
      <c r="X923" s="207" t="s">
        <v>1707</v>
      </c>
      <c r="Y923" s="207" t="s">
        <v>1706</v>
      </c>
      <c r="Z923" s="207"/>
      <c r="AA923" s="207" t="s">
        <v>1707</v>
      </c>
      <c r="AB923" s="207" t="s">
        <v>1706</v>
      </c>
      <c r="AC923" s="207"/>
      <c r="AD923" s="207" t="s">
        <v>1707</v>
      </c>
      <c r="AE923" t="s">
        <v>172</v>
      </c>
    </row>
    <row r="924" spans="1:31" x14ac:dyDescent="0.3">
      <c r="A924" t="s">
        <v>174</v>
      </c>
      <c r="B924" s="2">
        <v>17598</v>
      </c>
      <c r="C924" t="s">
        <v>172</v>
      </c>
      <c r="D924" s="2">
        <v>336.36363636363598</v>
      </c>
      <c r="E924" s="2">
        <v>17894</v>
      </c>
      <c r="F924" t="s">
        <v>172</v>
      </c>
      <c r="G924" s="14">
        <v>348.48484848484799</v>
      </c>
      <c r="H924" s="2">
        <v>18713</v>
      </c>
      <c r="I924" t="s">
        <v>172</v>
      </c>
      <c r="J924" s="14">
        <v>327.27273600000001</v>
      </c>
      <c r="K924" s="301">
        <v>6.3359472667348565E-2</v>
      </c>
      <c r="L924" s="2">
        <v>48686</v>
      </c>
      <c r="M924" t="s">
        <v>172</v>
      </c>
      <c r="N924" s="2">
        <v>206.666666666666</v>
      </c>
      <c r="O924" s="2">
        <v>49704</v>
      </c>
      <c r="P924" t="s">
        <v>172</v>
      </c>
      <c r="Q924" s="14">
        <v>125.454545454545</v>
      </c>
      <c r="R924" s="2">
        <v>50480</v>
      </c>
      <c r="S924" t="s">
        <v>172</v>
      </c>
      <c r="T924" s="14">
        <v>109.090912</v>
      </c>
      <c r="U924" s="301">
        <v>3.6848375302961839E-2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1885</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1706</v>
      </c>
      <c r="C927" s="304"/>
      <c r="D927" s="304" t="s">
        <v>1707</v>
      </c>
      <c r="E927" s="304" t="s">
        <v>1706</v>
      </c>
      <c r="F927" s="304"/>
      <c r="G927" s="304" t="s">
        <v>1707</v>
      </c>
      <c r="H927" s="304" t="s">
        <v>1706</v>
      </c>
      <c r="I927" s="304"/>
      <c r="J927" s="304" t="s">
        <v>1707</v>
      </c>
      <c r="K927" t="s">
        <v>172</v>
      </c>
      <c r="L927" s="304" t="s">
        <v>1706</v>
      </c>
      <c r="M927" s="304"/>
      <c r="N927" s="304" t="s">
        <v>1707</v>
      </c>
      <c r="O927" s="304" t="s">
        <v>1706</v>
      </c>
      <c r="P927" s="304"/>
      <c r="Q927" s="304" t="s">
        <v>1707</v>
      </c>
      <c r="R927" s="304" t="s">
        <v>1706</v>
      </c>
      <c r="S927" s="304"/>
      <c r="T927" s="304" t="s">
        <v>1707</v>
      </c>
      <c r="U927" t="s">
        <v>172</v>
      </c>
      <c r="V927" s="207" t="s">
        <v>1706</v>
      </c>
      <c r="W927" s="207"/>
      <c r="X927" s="207" t="s">
        <v>1707</v>
      </c>
      <c r="Y927" s="207" t="s">
        <v>1706</v>
      </c>
      <c r="Z927" s="207"/>
      <c r="AA927" s="207" t="s">
        <v>1707</v>
      </c>
      <c r="AB927" s="207" t="s">
        <v>1706</v>
      </c>
      <c r="AC927" s="207"/>
      <c r="AD927" s="207" t="s">
        <v>1707</v>
      </c>
      <c r="AE927" t="s">
        <v>172</v>
      </c>
    </row>
    <row r="928" spans="1:31" x14ac:dyDescent="0.3">
      <c r="A928" t="s">
        <v>174</v>
      </c>
      <c r="B928" s="2">
        <v>15857</v>
      </c>
      <c r="C928" t="s">
        <v>172</v>
      </c>
      <c r="D928" s="2">
        <v>297.575757575757</v>
      </c>
      <c r="E928" s="2">
        <v>16791</v>
      </c>
      <c r="F928" t="s">
        <v>172</v>
      </c>
      <c r="G928" s="14">
        <v>318.18181818181802</v>
      </c>
      <c r="H928" s="2">
        <v>17598</v>
      </c>
      <c r="I928" t="s">
        <v>172</v>
      </c>
      <c r="J928" s="14">
        <v>315.75756799999999</v>
      </c>
      <c r="K928" s="301">
        <v>0.1097937819259633</v>
      </c>
      <c r="L928" s="2">
        <v>42089</v>
      </c>
      <c r="M928" t="s">
        <v>172</v>
      </c>
      <c r="N928" s="2">
        <v>393.33333333333297</v>
      </c>
      <c r="O928" s="2">
        <v>43159</v>
      </c>
      <c r="P928" t="s">
        <v>172</v>
      </c>
      <c r="Q928" s="14">
        <v>457.575757575757</v>
      </c>
      <c r="R928" s="2">
        <v>44479</v>
      </c>
      <c r="S928" t="s">
        <v>172</v>
      </c>
      <c r="T928" s="14">
        <v>306.06060000000002</v>
      </c>
      <c r="U928" s="301">
        <v>5.6784432987241319E-2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1588</v>
      </c>
      <c r="B929" s="2">
        <v>8081</v>
      </c>
      <c r="C929" s="301">
        <v>0.50961720375859243</v>
      </c>
      <c r="D929" s="2">
        <v>304.84848484848402</v>
      </c>
      <c r="E929" s="2">
        <v>8016</v>
      </c>
      <c r="F929" s="301">
        <v>0.47739860639628373</v>
      </c>
      <c r="G929" s="14">
        <v>314.54545454545399</v>
      </c>
      <c r="H929" s="2">
        <v>8909</v>
      </c>
      <c r="I929" s="301">
        <v>0.50625071030798952</v>
      </c>
      <c r="J929" s="14">
        <v>390.30304000000001</v>
      </c>
      <c r="K929" s="301">
        <v>0.1024625665140453</v>
      </c>
      <c r="L929" s="2">
        <v>26535</v>
      </c>
      <c r="M929" s="301">
        <v>0.6304497612202713</v>
      </c>
      <c r="N929" s="2">
        <v>493.93939393939399</v>
      </c>
      <c r="O929" s="2">
        <v>26275</v>
      </c>
      <c r="P929" s="301">
        <v>0.6087953845084455</v>
      </c>
      <c r="Q929" s="14">
        <v>477.575757575757</v>
      </c>
      <c r="R929" s="2">
        <v>29270</v>
      </c>
      <c r="S929" s="301">
        <v>0.65806335574091146</v>
      </c>
      <c r="T929" s="14">
        <v>513.33330000000001</v>
      </c>
      <c r="U929" s="301">
        <v>0.10307141511211608</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1591</v>
      </c>
      <c r="B930" s="2">
        <v>7776</v>
      </c>
      <c r="C930" s="301">
        <v>0.49038279624140757</v>
      </c>
      <c r="D930" s="2">
        <v>295.15151515151501</v>
      </c>
      <c r="E930" s="2">
        <v>8775</v>
      </c>
      <c r="F930" s="301">
        <v>0.52260139360371627</v>
      </c>
      <c r="G930" s="14">
        <v>323.030303030303</v>
      </c>
      <c r="H930" s="2">
        <v>8689</v>
      </c>
      <c r="I930" s="301">
        <v>0.49374928969201043</v>
      </c>
      <c r="J930" s="14">
        <v>351.51513699999998</v>
      </c>
      <c r="K930" s="301">
        <v>0.11741255144032922</v>
      </c>
      <c r="L930" s="2">
        <v>15554</v>
      </c>
      <c r="M930" s="301">
        <v>0.36955023877972865</v>
      </c>
      <c r="N930" s="2">
        <v>477.575757575757</v>
      </c>
      <c r="O930" s="2">
        <v>16884</v>
      </c>
      <c r="P930" s="301">
        <v>0.3912046154915545</v>
      </c>
      <c r="Q930" s="14">
        <v>432.12121212121201</v>
      </c>
      <c r="R930" s="2">
        <v>15209</v>
      </c>
      <c r="S930" s="301">
        <v>0.34193664425908854</v>
      </c>
      <c r="T930" s="14">
        <v>513.93939999999998</v>
      </c>
      <c r="U930" s="301">
        <v>-2.218078950752218E-2</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1886</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1706</v>
      </c>
      <c r="C933" s="304"/>
      <c r="D933" s="304" t="s">
        <v>1707</v>
      </c>
      <c r="E933" s="304" t="s">
        <v>1706</v>
      </c>
      <c r="F933" s="304"/>
      <c r="G933" s="304" t="s">
        <v>1707</v>
      </c>
      <c r="H933" s="304" t="s">
        <v>1706</v>
      </c>
      <c r="I933" s="304"/>
      <c r="J933" s="304" t="s">
        <v>1707</v>
      </c>
      <c r="K933" t="s">
        <v>172</v>
      </c>
      <c r="L933" s="304" t="s">
        <v>1706</v>
      </c>
      <c r="M933" s="304"/>
      <c r="N933" s="304" t="s">
        <v>1707</v>
      </c>
      <c r="O933" s="304" t="s">
        <v>1706</v>
      </c>
      <c r="P933" s="304"/>
      <c r="Q933" s="304" t="s">
        <v>1707</v>
      </c>
      <c r="R933" s="304" t="s">
        <v>1706</v>
      </c>
      <c r="S933" s="304"/>
      <c r="T933" s="304" t="s">
        <v>1707</v>
      </c>
      <c r="U933" t="s">
        <v>172</v>
      </c>
      <c r="V933" s="207" t="s">
        <v>1706</v>
      </c>
      <c r="W933" s="207"/>
      <c r="X933" s="207" t="s">
        <v>1707</v>
      </c>
      <c r="Y933" s="207" t="s">
        <v>1706</v>
      </c>
      <c r="Z933" s="207"/>
      <c r="AA933" s="207" t="s">
        <v>1707</v>
      </c>
      <c r="AB933" s="207" t="s">
        <v>1706</v>
      </c>
      <c r="AC933" s="207"/>
      <c r="AD933" s="207" t="s">
        <v>1707</v>
      </c>
      <c r="AE933" t="s">
        <v>172</v>
      </c>
    </row>
    <row r="934" spans="1:31" x14ac:dyDescent="0.3">
      <c r="A934" t="s">
        <v>174</v>
      </c>
      <c r="B934" s="2">
        <v>12531</v>
      </c>
      <c r="C934" t="s">
        <v>172</v>
      </c>
      <c r="D934" s="2">
        <v>306.06060606060601</v>
      </c>
      <c r="E934" s="2">
        <v>13343</v>
      </c>
      <c r="F934" t="s">
        <v>172</v>
      </c>
      <c r="G934" s="14">
        <v>380.60606060606</v>
      </c>
      <c r="H934" s="2">
        <v>9590</v>
      </c>
      <c r="I934" t="s">
        <v>172</v>
      </c>
      <c r="J934" s="14">
        <v>389.69695999999999</v>
      </c>
      <c r="K934" s="301">
        <v>-0.23469794908626607</v>
      </c>
      <c r="L934" s="2">
        <v>35039</v>
      </c>
      <c r="M934" t="s">
        <v>172</v>
      </c>
      <c r="N934" s="2">
        <v>392.72727272727201</v>
      </c>
      <c r="O934" s="2">
        <v>36683</v>
      </c>
      <c r="P934" t="s">
        <v>172</v>
      </c>
      <c r="Q934" s="14">
        <v>464.84848484848402</v>
      </c>
      <c r="R934" s="2">
        <v>30461</v>
      </c>
      <c r="S934" t="s">
        <v>172</v>
      </c>
      <c r="T934" s="14">
        <v>483.63635299999999</v>
      </c>
      <c r="U934" s="301">
        <v>-0.1306544136533577</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1588</v>
      </c>
      <c r="B935" s="2">
        <v>6348</v>
      </c>
      <c r="C935" s="301">
        <v>0.50658367249221925</v>
      </c>
      <c r="D935" s="2">
        <v>261.81818181818102</v>
      </c>
      <c r="E935" s="2">
        <v>6122</v>
      </c>
      <c r="F935" s="301">
        <v>0.45881735741587348</v>
      </c>
      <c r="G935" s="14">
        <v>295.75757575757501</v>
      </c>
      <c r="H935" s="2">
        <v>5307</v>
      </c>
      <c r="I935" s="301">
        <v>0.55338894681960371</v>
      </c>
      <c r="J935" s="14">
        <v>312.121216</v>
      </c>
      <c r="K935" s="301">
        <v>-0.16398865784499056</v>
      </c>
      <c r="L935" s="2">
        <v>22343</v>
      </c>
      <c r="M935" s="301">
        <v>0.63766089214874855</v>
      </c>
      <c r="N935" s="2">
        <v>409.69696969696901</v>
      </c>
      <c r="O935" s="2">
        <v>22532</v>
      </c>
      <c r="P935" s="301">
        <v>0.61423547692391567</v>
      </c>
      <c r="Q935" s="14">
        <v>426.06060606060601</v>
      </c>
      <c r="R935" s="2">
        <v>21707</v>
      </c>
      <c r="S935" s="301">
        <v>0.71261613210334529</v>
      </c>
      <c r="T935" s="14">
        <v>504.84848</v>
      </c>
      <c r="U935" s="301">
        <v>-2.8465291142639754E-2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1591</v>
      </c>
      <c r="B936" s="2">
        <v>6183</v>
      </c>
      <c r="C936" s="301">
        <v>0.49341632750778069</v>
      </c>
      <c r="D936" s="2">
        <v>269.09090909090901</v>
      </c>
      <c r="E936" s="2">
        <v>7221</v>
      </c>
      <c r="F936" s="301">
        <v>0.54118264258412652</v>
      </c>
      <c r="G936" s="14">
        <v>321.81818181818102</v>
      </c>
      <c r="H936" s="2">
        <v>4283</v>
      </c>
      <c r="I936" s="301">
        <v>0.44661105318039623</v>
      </c>
      <c r="J936" s="14">
        <v>276.96969999999999</v>
      </c>
      <c r="K936" s="301">
        <v>-0.30729419375707584</v>
      </c>
      <c r="L936" s="2">
        <v>12696</v>
      </c>
      <c r="M936" s="301">
        <v>0.36233910785125145</v>
      </c>
      <c r="N936" s="2">
        <v>433.33333333333297</v>
      </c>
      <c r="O936" s="2">
        <v>14151</v>
      </c>
      <c r="P936" s="301">
        <v>0.38576452307608428</v>
      </c>
      <c r="Q936" s="14">
        <v>448.48484848484799</v>
      </c>
      <c r="R936" s="2">
        <v>8754</v>
      </c>
      <c r="S936" s="301">
        <v>0.28738386789665477</v>
      </c>
      <c r="T936" s="14">
        <v>386.06060000000002</v>
      </c>
      <c r="U936" s="301">
        <v>-0.31049149338374293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1887</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1706</v>
      </c>
      <c r="C939" s="304"/>
      <c r="D939" s="304" t="s">
        <v>1707</v>
      </c>
      <c r="E939" s="304" t="s">
        <v>1706</v>
      </c>
      <c r="F939" s="304"/>
      <c r="G939" s="304" t="s">
        <v>1707</v>
      </c>
      <c r="H939" s="304" t="s">
        <v>1706</v>
      </c>
      <c r="I939" s="304"/>
      <c r="J939" s="304" t="s">
        <v>1707</v>
      </c>
      <c r="K939" t="s">
        <v>172</v>
      </c>
      <c r="L939" s="304" t="s">
        <v>1706</v>
      </c>
      <c r="M939" s="304"/>
      <c r="N939" s="304" t="s">
        <v>1707</v>
      </c>
      <c r="O939" s="304" t="s">
        <v>1706</v>
      </c>
      <c r="P939" s="304"/>
      <c r="Q939" s="304" t="s">
        <v>1707</v>
      </c>
      <c r="R939" s="304" t="s">
        <v>1706</v>
      </c>
      <c r="S939" s="304"/>
      <c r="T939" s="304" t="s">
        <v>1707</v>
      </c>
      <c r="U939" t="s">
        <v>172</v>
      </c>
      <c r="V939" s="207" t="s">
        <v>1706</v>
      </c>
      <c r="W939" s="207"/>
      <c r="X939" s="207" t="s">
        <v>1707</v>
      </c>
      <c r="Y939" s="207" t="s">
        <v>1706</v>
      </c>
      <c r="Z939" s="207"/>
      <c r="AA939" s="207" t="s">
        <v>1707</v>
      </c>
      <c r="AB939" s="207" t="s">
        <v>1706</v>
      </c>
      <c r="AC939" s="207"/>
      <c r="AD939" s="207" t="s">
        <v>1707</v>
      </c>
      <c r="AE939" t="s">
        <v>172</v>
      </c>
    </row>
    <row r="940" spans="1:31" x14ac:dyDescent="0.3">
      <c r="A940" t="s">
        <v>174</v>
      </c>
      <c r="B940" s="2">
        <v>736</v>
      </c>
      <c r="C940" t="s">
        <v>172</v>
      </c>
      <c r="D940" s="2">
        <v>115.757575757575</v>
      </c>
      <c r="E940" s="2">
        <v>728</v>
      </c>
      <c r="F940" t="s">
        <v>172</v>
      </c>
      <c r="G940" s="14">
        <v>140</v>
      </c>
      <c r="H940" s="2">
        <v>1070</v>
      </c>
      <c r="I940" t="s">
        <v>172</v>
      </c>
      <c r="J940" s="14">
        <v>244.84848</v>
      </c>
      <c r="K940" s="301">
        <v>0.45380434782608697</v>
      </c>
      <c r="L940" s="2">
        <v>1369</v>
      </c>
      <c r="M940" t="s">
        <v>172</v>
      </c>
      <c r="N940" s="2">
        <v>142.42424242424201</v>
      </c>
      <c r="O940" s="2">
        <v>1473</v>
      </c>
      <c r="P940" t="s">
        <v>172</v>
      </c>
      <c r="Q940" s="14">
        <v>155.75757575757501</v>
      </c>
      <c r="R940" s="2">
        <v>1372</v>
      </c>
      <c r="S940" t="s">
        <v>172</v>
      </c>
      <c r="T940" s="14">
        <v>227.27271999999999</v>
      </c>
      <c r="U940" s="301">
        <v>2.1913805697589481E-3</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1588</v>
      </c>
      <c r="B941" s="2">
        <v>349</v>
      </c>
      <c r="C941" s="301">
        <v>0.47418478260869568</v>
      </c>
      <c r="D941" s="2">
        <v>106.06060606060601</v>
      </c>
      <c r="E941" s="2">
        <v>232</v>
      </c>
      <c r="F941" s="301">
        <v>0.31868131868131866</v>
      </c>
      <c r="G941" s="14">
        <v>73.3333333333333</v>
      </c>
      <c r="H941" s="2">
        <v>311</v>
      </c>
      <c r="I941" s="301">
        <v>0.29065420560747662</v>
      </c>
      <c r="J941" s="14">
        <v>112.727272</v>
      </c>
      <c r="K941" s="301">
        <v>-0.10888252148997135</v>
      </c>
      <c r="L941" s="2">
        <v>802</v>
      </c>
      <c r="M941" s="301">
        <v>0.58582907231555881</v>
      </c>
      <c r="N941" s="2">
        <v>155.75757575757501</v>
      </c>
      <c r="O941" s="2">
        <v>573</v>
      </c>
      <c r="P941" s="301">
        <v>0.38900203665987781</v>
      </c>
      <c r="Q941" s="14">
        <v>103.030303030303</v>
      </c>
      <c r="R941" s="2">
        <v>523</v>
      </c>
      <c r="S941" s="301">
        <v>0.38119533527696792</v>
      </c>
      <c r="T941" s="14">
        <v>93.939390000000003</v>
      </c>
      <c r="U941" s="301">
        <v>-0.34788029925187031</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1591</v>
      </c>
      <c r="B942" s="2">
        <v>387</v>
      </c>
      <c r="C942" s="301">
        <v>0.52581521739130432</v>
      </c>
      <c r="D942" s="2">
        <v>94.545454545454504</v>
      </c>
      <c r="E942" s="2">
        <v>496</v>
      </c>
      <c r="F942" s="301">
        <v>0.68131868131868134</v>
      </c>
      <c r="G942" s="14">
        <v>141.81818181818099</v>
      </c>
      <c r="H942" s="2">
        <v>759</v>
      </c>
      <c r="I942" s="301">
        <v>0.70934579439252332</v>
      </c>
      <c r="J942" s="14">
        <v>240.606064</v>
      </c>
      <c r="K942" s="301">
        <v>0.96124031007751942</v>
      </c>
      <c r="L942" s="2">
        <v>567</v>
      </c>
      <c r="M942" s="301">
        <v>0.41417092768444119</v>
      </c>
      <c r="N942" s="2">
        <v>122.424242424242</v>
      </c>
      <c r="O942" s="2">
        <v>900</v>
      </c>
      <c r="P942" s="301">
        <v>0.61099796334012224</v>
      </c>
      <c r="Q942" s="14">
        <v>144.84848484848399</v>
      </c>
      <c r="R942" s="2">
        <v>849</v>
      </c>
      <c r="S942" s="301">
        <v>0.61880466472303208</v>
      </c>
      <c r="T942" s="14">
        <v>237.57576</v>
      </c>
      <c r="U942" s="301">
        <v>0.49735449735449733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1888</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1706</v>
      </c>
      <c r="C945" s="304"/>
      <c r="D945" s="304" t="s">
        <v>1707</v>
      </c>
      <c r="E945" s="304" t="s">
        <v>1706</v>
      </c>
      <c r="F945" s="304"/>
      <c r="G945" s="304" t="s">
        <v>1707</v>
      </c>
      <c r="H945" s="304" t="s">
        <v>1706</v>
      </c>
      <c r="I945" s="304"/>
      <c r="J945" s="304" t="s">
        <v>1707</v>
      </c>
      <c r="K945" t="s">
        <v>172</v>
      </c>
      <c r="L945" s="304" t="s">
        <v>1706</v>
      </c>
      <c r="M945" s="304"/>
      <c r="N945" s="304" t="s">
        <v>1707</v>
      </c>
      <c r="O945" s="304" t="s">
        <v>1706</v>
      </c>
      <c r="P945" s="304"/>
      <c r="Q945" s="304" t="s">
        <v>1707</v>
      </c>
      <c r="R945" s="304" t="s">
        <v>1706</v>
      </c>
      <c r="S945" s="304"/>
      <c r="T945" s="304" t="s">
        <v>1707</v>
      </c>
      <c r="U945" t="s">
        <v>172</v>
      </c>
      <c r="V945" s="207" t="s">
        <v>1706</v>
      </c>
      <c r="W945" s="207"/>
      <c r="X945" s="207" t="s">
        <v>1707</v>
      </c>
      <c r="Y945" s="207" t="s">
        <v>1706</v>
      </c>
      <c r="Z945" s="207"/>
      <c r="AA945" s="207" t="s">
        <v>1707</v>
      </c>
      <c r="AB945" s="207" t="s">
        <v>1706</v>
      </c>
      <c r="AC945" s="207"/>
      <c r="AD945" s="207" t="s">
        <v>1707</v>
      </c>
      <c r="AE945" t="s">
        <v>172</v>
      </c>
    </row>
    <row r="946" spans="1:31" x14ac:dyDescent="0.3">
      <c r="A946" t="s">
        <v>174</v>
      </c>
      <c r="B946" s="2">
        <v>270</v>
      </c>
      <c r="C946" t="s">
        <v>172</v>
      </c>
      <c r="D946" s="2">
        <v>78.787878787878796</v>
      </c>
      <c r="E946" s="2">
        <v>209</v>
      </c>
      <c r="F946" t="s">
        <v>172</v>
      </c>
      <c r="G946" s="14">
        <v>66.060606060606005</v>
      </c>
      <c r="H946" s="2">
        <v>194</v>
      </c>
      <c r="I946" t="s">
        <v>172</v>
      </c>
      <c r="J946" s="14">
        <v>68.484849999999994</v>
      </c>
      <c r="K946" s="301">
        <v>-0.2814814814814815</v>
      </c>
      <c r="L946" s="2">
        <v>770</v>
      </c>
      <c r="M946" t="s">
        <v>172</v>
      </c>
      <c r="N946" s="2">
        <v>122.424242424242</v>
      </c>
      <c r="O946" s="2">
        <v>736</v>
      </c>
      <c r="P946" t="s">
        <v>172</v>
      </c>
      <c r="Q946" s="14">
        <v>101.212121212121</v>
      </c>
      <c r="R946" s="2">
        <v>706</v>
      </c>
      <c r="S946" t="s">
        <v>172</v>
      </c>
      <c r="T946" s="14">
        <v>100</v>
      </c>
      <c r="U946" s="301">
        <v>-8.3116883116883117E-2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1588</v>
      </c>
      <c r="B947" s="2">
        <v>145</v>
      </c>
      <c r="C947" s="301">
        <v>0.53703703703703709</v>
      </c>
      <c r="D947" s="2">
        <v>66.060606060606005</v>
      </c>
      <c r="E947" s="2">
        <v>98</v>
      </c>
      <c r="F947" s="301">
        <v>0.46889952153110048</v>
      </c>
      <c r="G947" s="2">
        <v>50.303030303030297</v>
      </c>
      <c r="H947" s="2">
        <v>147</v>
      </c>
      <c r="I947" s="301">
        <v>0.75773195876288657</v>
      </c>
      <c r="J947" s="14">
        <v>56.363636</v>
      </c>
      <c r="K947" s="301">
        <v>1.3793103448275862E-2</v>
      </c>
      <c r="L947" s="2">
        <v>452</v>
      </c>
      <c r="M947" s="301">
        <v>0.58701298701298699</v>
      </c>
      <c r="N947" s="2">
        <v>104.84848484848401</v>
      </c>
      <c r="O947" s="2">
        <v>496</v>
      </c>
      <c r="P947" s="301">
        <v>0.67391304347826086</v>
      </c>
      <c r="Q947" s="2">
        <v>89.696969696969703</v>
      </c>
      <c r="R947" s="2">
        <v>561</v>
      </c>
      <c r="S947" s="301">
        <v>0.79461756373937675</v>
      </c>
      <c r="T947" s="14">
        <v>83.636359999999996</v>
      </c>
      <c r="U947" s="301">
        <v>0.24115044247787609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1591</v>
      </c>
      <c r="B948" s="2">
        <v>125</v>
      </c>
      <c r="C948" s="301">
        <v>0.46296296296296297</v>
      </c>
      <c r="D948" s="2">
        <v>45.454545454545404</v>
      </c>
      <c r="E948" s="2">
        <v>111</v>
      </c>
      <c r="F948" s="301">
        <v>0.53110047846889952</v>
      </c>
      <c r="G948" s="14">
        <v>39.393939393939398</v>
      </c>
      <c r="H948" s="2">
        <v>47</v>
      </c>
      <c r="I948" s="301">
        <v>0.2422680412371134</v>
      </c>
      <c r="J948" s="14">
        <v>33.3333321</v>
      </c>
      <c r="K948" s="301">
        <v>-0.624</v>
      </c>
      <c r="L948" s="2">
        <v>318</v>
      </c>
      <c r="M948" s="301">
        <v>0.41298701298701301</v>
      </c>
      <c r="N948" s="2">
        <v>67.878787878787804</v>
      </c>
      <c r="O948" s="2">
        <v>240</v>
      </c>
      <c r="P948" s="301">
        <v>0.32608695652173914</v>
      </c>
      <c r="Q948" s="14">
        <v>55.151515151515099</v>
      </c>
      <c r="R948" s="2">
        <v>145</v>
      </c>
      <c r="S948" s="301">
        <v>0.20538243626062322</v>
      </c>
      <c r="T948" s="14">
        <v>47.272728000000001</v>
      </c>
      <c r="U948" s="301">
        <v>-0.54402515723270439</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1889</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1706</v>
      </c>
      <c r="C951" s="304"/>
      <c r="D951" s="304" t="s">
        <v>1707</v>
      </c>
      <c r="E951" s="304" t="s">
        <v>1706</v>
      </c>
      <c r="F951" s="304"/>
      <c r="G951" s="304" t="s">
        <v>1707</v>
      </c>
      <c r="H951" s="304" t="s">
        <v>1706</v>
      </c>
      <c r="I951" s="304"/>
      <c r="J951" s="304" t="s">
        <v>1707</v>
      </c>
      <c r="K951" t="s">
        <v>172</v>
      </c>
      <c r="L951" s="304" t="s">
        <v>1706</v>
      </c>
      <c r="M951" s="304"/>
      <c r="N951" s="304" t="s">
        <v>1707</v>
      </c>
      <c r="O951" s="304" t="s">
        <v>1706</v>
      </c>
      <c r="P951" s="304"/>
      <c r="Q951" s="304" t="s">
        <v>1707</v>
      </c>
      <c r="R951" s="304" t="s">
        <v>1706</v>
      </c>
      <c r="S951" s="304"/>
      <c r="T951" s="304" t="s">
        <v>1707</v>
      </c>
      <c r="U951" t="s">
        <v>172</v>
      </c>
      <c r="V951" s="207" t="s">
        <v>1706</v>
      </c>
      <c r="W951" s="207"/>
      <c r="X951" s="207" t="s">
        <v>1707</v>
      </c>
      <c r="Y951" s="207" t="s">
        <v>1706</v>
      </c>
      <c r="Z951" s="207"/>
      <c r="AA951" s="207" t="s">
        <v>1707</v>
      </c>
      <c r="AB951" s="207" t="s">
        <v>1706</v>
      </c>
      <c r="AC951" s="207"/>
      <c r="AD951" s="207" t="s">
        <v>1707</v>
      </c>
      <c r="AE951" t="s">
        <v>172</v>
      </c>
    </row>
    <row r="952" spans="1:31" x14ac:dyDescent="0.3">
      <c r="A952" t="s">
        <v>174</v>
      </c>
      <c r="B952" s="2">
        <v>498</v>
      </c>
      <c r="C952" t="s">
        <v>172</v>
      </c>
      <c r="D952" s="2">
        <v>88.484848484848399</v>
      </c>
      <c r="E952" s="2">
        <v>461</v>
      </c>
      <c r="F952" t="s">
        <v>172</v>
      </c>
      <c r="G952" s="14">
        <v>66.060606060606005</v>
      </c>
      <c r="H952" s="2">
        <v>279</v>
      </c>
      <c r="I952" t="s">
        <v>172</v>
      </c>
      <c r="J952" s="14">
        <v>71.515150000000006</v>
      </c>
      <c r="K952" s="301">
        <v>-0.43975903614457829</v>
      </c>
      <c r="L952" s="2">
        <v>935</v>
      </c>
      <c r="M952" t="s">
        <v>172</v>
      </c>
      <c r="N952" s="2">
        <v>96.969696969696898</v>
      </c>
      <c r="O952" s="2">
        <v>846</v>
      </c>
      <c r="P952" t="s">
        <v>172</v>
      </c>
      <c r="Q952" s="14">
        <v>91.515151515151501</v>
      </c>
      <c r="R952" s="2">
        <v>803</v>
      </c>
      <c r="S952" t="s">
        <v>172</v>
      </c>
      <c r="T952" s="14">
        <v>90.909090000000006</v>
      </c>
      <c r="U952" s="301">
        <v>-0.14117647058823529</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1588</v>
      </c>
      <c r="B953" s="2">
        <v>305</v>
      </c>
      <c r="C953" s="301">
        <v>0.6124497991967871</v>
      </c>
      <c r="D953" s="2">
        <v>59.393939393939398</v>
      </c>
      <c r="E953" s="2">
        <v>318</v>
      </c>
      <c r="F953" s="301">
        <v>0.68980477223427328</v>
      </c>
      <c r="G953" s="14">
        <v>60.606060606060602</v>
      </c>
      <c r="H953" s="2">
        <v>198</v>
      </c>
      <c r="I953" s="301">
        <v>0.70967741935483875</v>
      </c>
      <c r="J953" s="14">
        <v>59.393940000000001</v>
      </c>
      <c r="K953" s="301">
        <v>-0.35081967213114756</v>
      </c>
      <c r="L953" s="2">
        <v>588</v>
      </c>
      <c r="M953" s="301">
        <v>0.62887700534759361</v>
      </c>
      <c r="N953" s="2">
        <v>74.545454545454504</v>
      </c>
      <c r="O953" s="2">
        <v>621</v>
      </c>
      <c r="P953" s="301">
        <v>0.73404255319148937</v>
      </c>
      <c r="Q953" s="14">
        <v>86.6666666666666</v>
      </c>
      <c r="R953" s="2">
        <v>599</v>
      </c>
      <c r="S953" s="301">
        <v>0.74595267745952676</v>
      </c>
      <c r="T953" s="14">
        <v>79.393936199999999</v>
      </c>
      <c r="U953" s="301">
        <v>1.8707482993197279E-2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1591</v>
      </c>
      <c r="B954" s="2">
        <v>193</v>
      </c>
      <c r="C954" s="301">
        <v>0.38755020080321284</v>
      </c>
      <c r="D954" s="2">
        <v>77.575757575757507</v>
      </c>
      <c r="E954" s="2">
        <v>143</v>
      </c>
      <c r="F954" s="301">
        <v>0.31019522776572667</v>
      </c>
      <c r="G954" s="14">
        <v>45.454545454545404</v>
      </c>
      <c r="H954" s="2">
        <v>81</v>
      </c>
      <c r="I954" s="301">
        <v>0.29032258064516131</v>
      </c>
      <c r="J954" s="14">
        <v>35.757576</v>
      </c>
      <c r="K954" s="301">
        <v>-0.5803108808290155</v>
      </c>
      <c r="L954" s="2">
        <v>347</v>
      </c>
      <c r="M954" s="301">
        <v>0.37112299465240639</v>
      </c>
      <c r="N954" s="2">
        <v>97.575757575757606</v>
      </c>
      <c r="O954" s="2">
        <v>225</v>
      </c>
      <c r="P954" s="301">
        <v>0.26595744680851063</v>
      </c>
      <c r="Q954" s="14">
        <v>56.969696969696898</v>
      </c>
      <c r="R954" s="2">
        <v>204</v>
      </c>
      <c r="S954" s="301">
        <v>0.25404732254047324</v>
      </c>
      <c r="T954" s="14">
        <v>69.090909999999994</v>
      </c>
      <c r="U954" s="301">
        <v>-0.41210374639769454</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1890</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1706</v>
      </c>
      <c r="C957" s="304"/>
      <c r="D957" s="304" t="s">
        <v>1707</v>
      </c>
      <c r="E957" s="304" t="s">
        <v>1706</v>
      </c>
      <c r="F957" s="304"/>
      <c r="G957" s="304" t="s">
        <v>1707</v>
      </c>
      <c r="H957" s="304" t="s">
        <v>1706</v>
      </c>
      <c r="I957" s="304"/>
      <c r="J957" s="304" t="s">
        <v>1707</v>
      </c>
      <c r="K957" t="s">
        <v>172</v>
      </c>
      <c r="L957" s="304" t="s">
        <v>1706</v>
      </c>
      <c r="M957" s="304"/>
      <c r="N957" s="304" t="s">
        <v>1707</v>
      </c>
      <c r="O957" s="304" t="s">
        <v>1706</v>
      </c>
      <c r="P957" s="304"/>
      <c r="Q957" s="304" t="s">
        <v>1707</v>
      </c>
      <c r="R957" s="304" t="s">
        <v>1706</v>
      </c>
      <c r="S957" s="304"/>
      <c r="T957" s="304" t="s">
        <v>1707</v>
      </c>
      <c r="U957" t="s">
        <v>172</v>
      </c>
      <c r="V957" s="207" t="s">
        <v>1706</v>
      </c>
      <c r="W957" s="207"/>
      <c r="X957" s="207" t="s">
        <v>1707</v>
      </c>
      <c r="Y957" s="207" t="s">
        <v>1706</v>
      </c>
      <c r="Z957" s="207"/>
      <c r="AA957" s="207" t="s">
        <v>1707</v>
      </c>
      <c r="AB957" s="207" t="s">
        <v>1706</v>
      </c>
      <c r="AC957" s="207"/>
      <c r="AD957" s="207" t="s">
        <v>1707</v>
      </c>
      <c r="AE957" t="s">
        <v>172</v>
      </c>
    </row>
    <row r="958" spans="1:31" x14ac:dyDescent="0.3">
      <c r="A958" t="s">
        <v>174</v>
      </c>
      <c r="B958" s="2">
        <v>0</v>
      </c>
      <c r="C958" t="s">
        <v>172</v>
      </c>
      <c r="D958" s="2">
        <v>80</v>
      </c>
      <c r="E958" s="2">
        <v>12</v>
      </c>
      <c r="F958" t="s">
        <v>172</v>
      </c>
      <c r="G958" s="14">
        <v>10.303030303030299</v>
      </c>
      <c r="H958" s="2">
        <v>0</v>
      </c>
      <c r="I958" t="s">
        <v>172</v>
      </c>
      <c r="J958" s="14">
        <v>18.787877999999999</v>
      </c>
      <c r="L958" s="2">
        <v>10</v>
      </c>
      <c r="M958" t="s">
        <v>172</v>
      </c>
      <c r="N958" s="2">
        <v>7.8787878787878798</v>
      </c>
      <c r="O958" s="2">
        <v>33</v>
      </c>
      <c r="P958" t="s">
        <v>172</v>
      </c>
      <c r="Q958" s="14">
        <v>10.909090909090899</v>
      </c>
      <c r="R958" s="2">
        <v>8</v>
      </c>
      <c r="S958" t="s">
        <v>172</v>
      </c>
      <c r="T958" s="14">
        <v>6.6666665099999998</v>
      </c>
      <c r="U958" s="301">
        <v>-0.2</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1588</v>
      </c>
      <c r="B959" s="2">
        <v>0</v>
      </c>
      <c r="C959" s="2">
        <v>80</v>
      </c>
      <c r="D959" t="s">
        <v>172</v>
      </c>
      <c r="E959" s="2">
        <v>0</v>
      </c>
      <c r="F959" s="301">
        <v>0</v>
      </c>
      <c r="G959" s="14">
        <v>16.969696969696901</v>
      </c>
      <c r="H959" s="2">
        <v>0</v>
      </c>
      <c r="I959" s="14">
        <v>18.787877999999999</v>
      </c>
      <c r="J959" t="s">
        <v>172</v>
      </c>
      <c r="L959" s="2">
        <v>10</v>
      </c>
      <c r="M959" s="301">
        <v>1</v>
      </c>
      <c r="N959" s="2">
        <v>7.8787878787878798</v>
      </c>
      <c r="O959" s="2">
        <v>0</v>
      </c>
      <c r="P959" s="301">
        <v>0</v>
      </c>
      <c r="Q959" s="14">
        <v>16.969696969696901</v>
      </c>
      <c r="R959" s="2">
        <v>8</v>
      </c>
      <c r="S959" s="301">
        <v>1</v>
      </c>
      <c r="T959" s="14">
        <v>6.6666665099999998</v>
      </c>
      <c r="U959" s="301">
        <v>-0.2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1591</v>
      </c>
      <c r="B960" s="2">
        <v>0</v>
      </c>
      <c r="C960" s="2">
        <v>80</v>
      </c>
      <c r="D960" t="s">
        <v>172</v>
      </c>
      <c r="E960" s="2">
        <v>12</v>
      </c>
      <c r="F960" s="301">
        <v>1</v>
      </c>
      <c r="G960" s="14">
        <v>10.303030303030299</v>
      </c>
      <c r="H960" s="2">
        <v>0</v>
      </c>
      <c r="I960" s="14">
        <v>18.787877999999999</v>
      </c>
      <c r="J960" t="s">
        <v>172</v>
      </c>
      <c r="L960" s="2">
        <v>0</v>
      </c>
      <c r="M960" s="301">
        <v>0</v>
      </c>
      <c r="N960" s="2">
        <v>80</v>
      </c>
      <c r="O960" s="2">
        <v>33</v>
      </c>
      <c r="P960" s="301">
        <v>1</v>
      </c>
      <c r="Q960" s="14">
        <v>10.909090909090899</v>
      </c>
      <c r="R960" s="2">
        <v>0</v>
      </c>
      <c r="S960" s="301">
        <v>0</v>
      </c>
      <c r="T960" s="14">
        <v>18.787877999999999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1891</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1706</v>
      </c>
      <c r="C963" s="304"/>
      <c r="D963" s="304" t="s">
        <v>1707</v>
      </c>
      <c r="E963" s="304" t="s">
        <v>1706</v>
      </c>
      <c r="F963" s="304"/>
      <c r="G963" s="304" t="s">
        <v>1707</v>
      </c>
      <c r="H963" s="304" t="s">
        <v>1706</v>
      </c>
      <c r="I963" s="304"/>
      <c r="J963" s="304" t="s">
        <v>1707</v>
      </c>
      <c r="K963" t="s">
        <v>172</v>
      </c>
      <c r="L963" s="304" t="s">
        <v>1706</v>
      </c>
      <c r="M963" s="304"/>
      <c r="N963" s="304" t="s">
        <v>1707</v>
      </c>
      <c r="O963" s="304" t="s">
        <v>1706</v>
      </c>
      <c r="P963" s="304"/>
      <c r="Q963" s="304" t="s">
        <v>1707</v>
      </c>
      <c r="R963" s="304" t="s">
        <v>1706</v>
      </c>
      <c r="S963" s="304"/>
      <c r="T963" s="304" t="s">
        <v>1707</v>
      </c>
      <c r="U963" t="s">
        <v>172</v>
      </c>
      <c r="V963" s="207" t="s">
        <v>1706</v>
      </c>
      <c r="W963" s="207"/>
      <c r="X963" s="207" t="s">
        <v>1707</v>
      </c>
      <c r="Y963" s="207" t="s">
        <v>1706</v>
      </c>
      <c r="Z963" s="207"/>
      <c r="AA963" s="207" t="s">
        <v>1707</v>
      </c>
      <c r="AB963" s="207" t="s">
        <v>1706</v>
      </c>
      <c r="AC963" s="207"/>
      <c r="AD963" s="207" t="s">
        <v>1707</v>
      </c>
      <c r="AE963" t="s">
        <v>172</v>
      </c>
    </row>
    <row r="964" spans="1:31" x14ac:dyDescent="0.3">
      <c r="A964" t="s">
        <v>174</v>
      </c>
      <c r="B964" s="2">
        <v>1514</v>
      </c>
      <c r="C964" t="s">
        <v>172</v>
      </c>
      <c r="D964" s="2">
        <v>142.42424242424201</v>
      </c>
      <c r="E964" s="2">
        <v>1645</v>
      </c>
      <c r="F964" t="s">
        <v>172</v>
      </c>
      <c r="G964" s="14">
        <v>158.18181818181799</v>
      </c>
      <c r="H964" s="2">
        <v>5489</v>
      </c>
      <c r="I964" t="s">
        <v>172</v>
      </c>
      <c r="J964" s="14">
        <v>341.81817599999999</v>
      </c>
      <c r="K964" s="301">
        <v>2.6254953764861293</v>
      </c>
      <c r="L964" s="2">
        <v>3004</v>
      </c>
      <c r="M964" t="s">
        <v>172</v>
      </c>
      <c r="N964" s="2">
        <v>216.969696969697</v>
      </c>
      <c r="O964" s="2">
        <v>2581</v>
      </c>
      <c r="P964" t="s">
        <v>172</v>
      </c>
      <c r="Q964" s="14">
        <v>201.21212121212099</v>
      </c>
      <c r="R964" s="2">
        <v>8812</v>
      </c>
      <c r="S964" t="s">
        <v>172</v>
      </c>
      <c r="T964" s="14">
        <v>451.51513699999998</v>
      </c>
      <c r="U964" s="301">
        <v>1.933422103861518</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1588</v>
      </c>
      <c r="B965" s="2">
        <v>767</v>
      </c>
      <c r="C965" s="301">
        <v>0.50660501981505945</v>
      </c>
      <c r="D965" s="2">
        <v>106.06060606060601</v>
      </c>
      <c r="E965" s="2">
        <v>1007</v>
      </c>
      <c r="F965" s="301">
        <v>0.61215805471124618</v>
      </c>
      <c r="G965" s="14">
        <v>146.666666666666</v>
      </c>
      <c r="H965" s="2">
        <v>2453</v>
      </c>
      <c r="I965" s="301">
        <v>0.4468937875751503</v>
      </c>
      <c r="J965" s="14">
        <v>241.81817599999999</v>
      </c>
      <c r="K965" s="301">
        <v>2.1981747066492829</v>
      </c>
      <c r="L965" s="2">
        <v>1726</v>
      </c>
      <c r="M965" s="301">
        <v>0.57456724367509981</v>
      </c>
      <c r="N965" s="2">
        <v>152.12121212121201</v>
      </c>
      <c r="O965" s="2">
        <v>1596</v>
      </c>
      <c r="P965" s="301">
        <v>0.61836497481596275</v>
      </c>
      <c r="Q965" s="14">
        <v>179.39393939393901</v>
      </c>
      <c r="R965" s="2">
        <v>4425</v>
      </c>
      <c r="S965" s="301">
        <v>0.50215615070358599</v>
      </c>
      <c r="T965" s="14">
        <v>333.33334400000001</v>
      </c>
      <c r="U965" s="301">
        <v>1.563731170336037</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1591</v>
      </c>
      <c r="B966" s="2">
        <v>747</v>
      </c>
      <c r="C966" s="301">
        <v>0.49339498018494055</v>
      </c>
      <c r="D966" s="2">
        <v>92.121212121212096</v>
      </c>
      <c r="E966" s="2">
        <v>638</v>
      </c>
      <c r="F966" s="301">
        <v>0.38784194528875382</v>
      </c>
      <c r="G966" s="14">
        <v>106.06060606060601</v>
      </c>
      <c r="H966" s="2">
        <v>3036</v>
      </c>
      <c r="I966" s="301">
        <v>0.5531062124248497</v>
      </c>
      <c r="J966" s="14">
        <v>287.27273600000001</v>
      </c>
      <c r="K966" s="301">
        <v>3.0642570281124497</v>
      </c>
      <c r="L966" s="2">
        <v>1278</v>
      </c>
      <c r="M966" s="301">
        <v>0.42543275632490013</v>
      </c>
      <c r="N966" s="2">
        <v>157.575757575757</v>
      </c>
      <c r="O966" s="2">
        <v>985</v>
      </c>
      <c r="P966" s="301">
        <v>0.38163502518403719</v>
      </c>
      <c r="Q966" s="14">
        <v>122.424242424242</v>
      </c>
      <c r="R966" s="2">
        <v>4387</v>
      </c>
      <c r="S966" s="301">
        <v>0.49784384929641395</v>
      </c>
      <c r="T966" s="14">
        <v>326.06060000000002</v>
      </c>
      <c r="U966" s="301">
        <v>2.4327073552425666</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1892</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1706</v>
      </c>
      <c r="C969" s="304"/>
      <c r="D969" s="304" t="s">
        <v>1707</v>
      </c>
      <c r="E969" s="304" t="s">
        <v>1706</v>
      </c>
      <c r="F969" s="304"/>
      <c r="G969" s="304" t="s">
        <v>1707</v>
      </c>
      <c r="H969" s="304" t="s">
        <v>1706</v>
      </c>
      <c r="I969" s="304"/>
      <c r="J969" s="304" t="s">
        <v>1707</v>
      </c>
      <c r="K969" t="s">
        <v>172</v>
      </c>
      <c r="L969" s="304" t="s">
        <v>1706</v>
      </c>
      <c r="M969" s="304"/>
      <c r="N969" s="304" t="s">
        <v>1707</v>
      </c>
      <c r="O969" s="304" t="s">
        <v>1706</v>
      </c>
      <c r="P969" s="304"/>
      <c r="Q969" s="304" t="s">
        <v>1707</v>
      </c>
      <c r="R969" s="304" t="s">
        <v>1706</v>
      </c>
      <c r="S969" s="304"/>
      <c r="T969" s="304" t="s">
        <v>1707</v>
      </c>
      <c r="U969" t="s">
        <v>172</v>
      </c>
      <c r="V969" s="207" t="s">
        <v>1706</v>
      </c>
      <c r="W969" s="207"/>
      <c r="X969" s="207" t="s">
        <v>1707</v>
      </c>
      <c r="Y969" s="207" t="s">
        <v>1706</v>
      </c>
      <c r="Z969" s="207"/>
      <c r="AA969" s="207" t="s">
        <v>1707</v>
      </c>
      <c r="AB969" s="207" t="s">
        <v>1706</v>
      </c>
      <c r="AC969" s="207"/>
      <c r="AD969" s="207" t="s">
        <v>1707</v>
      </c>
      <c r="AE969" t="s">
        <v>172</v>
      </c>
    </row>
    <row r="970" spans="1:31" x14ac:dyDescent="0.3">
      <c r="A970" t="s">
        <v>174</v>
      </c>
      <c r="B970" s="2">
        <v>308</v>
      </c>
      <c r="C970" t="s">
        <v>172</v>
      </c>
      <c r="D970" s="2">
        <v>64.848484848484802</v>
      </c>
      <c r="E970" s="2">
        <v>393</v>
      </c>
      <c r="F970" t="s">
        <v>172</v>
      </c>
      <c r="G970" s="14">
        <v>80.606060606060595</v>
      </c>
      <c r="H970" s="2">
        <v>976</v>
      </c>
      <c r="I970" t="s">
        <v>172</v>
      </c>
      <c r="J970" s="14">
        <v>182.42424</v>
      </c>
      <c r="K970" s="301">
        <v>2.168831168831169</v>
      </c>
      <c r="L970" s="2">
        <v>962</v>
      </c>
      <c r="M970" t="s">
        <v>172</v>
      </c>
      <c r="N970" s="2">
        <v>108.484848484848</v>
      </c>
      <c r="O970" s="2">
        <v>807</v>
      </c>
      <c r="P970" t="s">
        <v>172</v>
      </c>
      <c r="Q970" s="14">
        <v>118.787878787878</v>
      </c>
      <c r="R970" s="2">
        <v>2317</v>
      </c>
      <c r="S970" t="s">
        <v>172</v>
      </c>
      <c r="T970" s="14">
        <v>261.81817599999999</v>
      </c>
      <c r="U970" s="301">
        <v>1.4085239085239085</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1588</v>
      </c>
      <c r="B971" s="2">
        <v>167</v>
      </c>
      <c r="C971" s="301">
        <v>0.54220779220779225</v>
      </c>
      <c r="D971" s="2">
        <v>56.363636363636303</v>
      </c>
      <c r="E971" s="2">
        <v>239</v>
      </c>
      <c r="F971" s="301">
        <v>0.6081424936386769</v>
      </c>
      <c r="G971" s="14">
        <v>62.424242424242401</v>
      </c>
      <c r="H971" s="2">
        <v>493</v>
      </c>
      <c r="I971" s="301">
        <v>0.50512295081967218</v>
      </c>
      <c r="J971" s="14">
        <v>168.484848</v>
      </c>
      <c r="K971" s="301">
        <v>1.9520958083832336</v>
      </c>
      <c r="L971" s="2">
        <v>614</v>
      </c>
      <c r="M971" s="301">
        <v>0.63825363825363823</v>
      </c>
      <c r="N971" s="2">
        <v>81.212121212121204</v>
      </c>
      <c r="O971" s="2">
        <v>457</v>
      </c>
      <c r="P971" s="301">
        <v>0.56629491945477073</v>
      </c>
      <c r="Q971" s="14">
        <v>80.606060606060595</v>
      </c>
      <c r="R971" s="2">
        <v>1447</v>
      </c>
      <c r="S971" s="301">
        <v>0.62451445835131636</v>
      </c>
      <c r="T971" s="14">
        <v>250.30302399999999</v>
      </c>
      <c r="U971" s="301">
        <v>1.3566775244299674</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1591</v>
      </c>
      <c r="B972" s="2">
        <v>141</v>
      </c>
      <c r="C972" s="301">
        <v>0.45779220779220781</v>
      </c>
      <c r="D972" s="2">
        <v>38.787878787878697</v>
      </c>
      <c r="E972" s="2">
        <v>154</v>
      </c>
      <c r="F972" s="301">
        <v>0.39185750636132316</v>
      </c>
      <c r="G972" s="14">
        <v>51.515151515151501</v>
      </c>
      <c r="H972" s="2">
        <v>483</v>
      </c>
      <c r="I972" s="301">
        <v>0.49487704918032788</v>
      </c>
      <c r="J972" s="14">
        <v>152.72728000000001</v>
      </c>
      <c r="K972" s="301">
        <v>2.4255319148936172</v>
      </c>
      <c r="L972" s="2">
        <v>348</v>
      </c>
      <c r="M972" s="301">
        <v>0.36174636174636177</v>
      </c>
      <c r="N972" s="2">
        <v>78.787878787878796</v>
      </c>
      <c r="O972" s="2">
        <v>350</v>
      </c>
      <c r="P972" s="301">
        <v>0.43370508054522927</v>
      </c>
      <c r="Q972" s="14">
        <v>77.575757575757507</v>
      </c>
      <c r="R972" s="2">
        <v>870</v>
      </c>
      <c r="S972" s="301">
        <v>0.37548554164868364</v>
      </c>
      <c r="T972" s="14">
        <v>178.78787199999999</v>
      </c>
      <c r="U972" s="301">
        <v>1.5</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1893</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1706</v>
      </c>
      <c r="C975" s="304"/>
      <c r="D975" s="304" t="s">
        <v>1707</v>
      </c>
      <c r="E975" s="304" t="s">
        <v>1706</v>
      </c>
      <c r="F975" s="304"/>
      <c r="G975" s="304" t="s">
        <v>1707</v>
      </c>
      <c r="H975" s="304" t="s">
        <v>1706</v>
      </c>
      <c r="I975" s="304"/>
      <c r="J975" s="304" t="s">
        <v>1707</v>
      </c>
      <c r="K975" t="s">
        <v>172</v>
      </c>
      <c r="L975" s="304" t="s">
        <v>1706</v>
      </c>
      <c r="M975" s="304"/>
      <c r="N975" s="304" t="s">
        <v>1707</v>
      </c>
      <c r="O975" s="304" t="s">
        <v>1706</v>
      </c>
      <c r="P975" s="304"/>
      <c r="Q975" s="304" t="s">
        <v>1707</v>
      </c>
      <c r="R975" s="304" t="s">
        <v>1706</v>
      </c>
      <c r="S975" s="304"/>
      <c r="T975" s="304" t="s">
        <v>1707</v>
      </c>
      <c r="U975" t="s">
        <v>172</v>
      </c>
      <c r="V975" s="207" t="s">
        <v>1706</v>
      </c>
      <c r="W975" s="207"/>
      <c r="X975" s="207" t="s">
        <v>1707</v>
      </c>
      <c r="Y975" s="207" t="s">
        <v>1706</v>
      </c>
      <c r="Z975" s="207"/>
      <c r="AA975" s="207" t="s">
        <v>1707</v>
      </c>
      <c r="AB975" s="207" t="s">
        <v>1706</v>
      </c>
      <c r="AC975" s="207"/>
      <c r="AD975" s="207" t="s">
        <v>1707</v>
      </c>
      <c r="AE975" t="s">
        <v>172</v>
      </c>
    </row>
    <row r="976" spans="1:31" x14ac:dyDescent="0.3">
      <c r="A976" t="s">
        <v>174</v>
      </c>
      <c r="B976" s="2">
        <v>4996</v>
      </c>
      <c r="C976" t="s">
        <v>172</v>
      </c>
      <c r="D976" s="2">
        <v>248.48484848484799</v>
      </c>
      <c r="E976" s="2">
        <v>3855</v>
      </c>
      <c r="F976" t="s">
        <v>172</v>
      </c>
      <c r="G976" s="14">
        <v>248.48484848484799</v>
      </c>
      <c r="H976" s="2">
        <v>3848</v>
      </c>
      <c r="I976" t="s">
        <v>172</v>
      </c>
      <c r="J976" s="14">
        <v>220.606064</v>
      </c>
      <c r="K976" s="301">
        <v>-0.22978382706164932</v>
      </c>
      <c r="L976" s="2">
        <v>22961</v>
      </c>
      <c r="M976" t="s">
        <v>172</v>
      </c>
      <c r="N976" s="2">
        <v>236.363636363636</v>
      </c>
      <c r="O976" s="2">
        <v>21005</v>
      </c>
      <c r="P976" t="s">
        <v>172</v>
      </c>
      <c r="Q976" s="14">
        <v>326.666666666666</v>
      </c>
      <c r="R976" s="2">
        <v>20408</v>
      </c>
      <c r="S976" t="s">
        <v>172</v>
      </c>
      <c r="T976" s="14">
        <v>267.878784</v>
      </c>
      <c r="U976" s="301">
        <v>-0.11118853708462174</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1588</v>
      </c>
      <c r="B977" s="2">
        <v>3135</v>
      </c>
      <c r="C977" s="301">
        <v>0.627502001601281</v>
      </c>
      <c r="D977" s="2">
        <v>197.575757575757</v>
      </c>
      <c r="E977" s="2">
        <v>2351</v>
      </c>
      <c r="F977" s="301">
        <v>0.60985732814526594</v>
      </c>
      <c r="G977" s="14">
        <v>179.39393939393901</v>
      </c>
      <c r="H977" s="2">
        <v>2339</v>
      </c>
      <c r="I977" s="301">
        <v>0.60784823284823286</v>
      </c>
      <c r="J977" s="14">
        <v>183.636368</v>
      </c>
      <c r="K977" s="301">
        <v>-0.25390749601275919</v>
      </c>
      <c r="L977" s="2">
        <v>16603</v>
      </c>
      <c r="M977" s="301">
        <v>0.72309568398588908</v>
      </c>
      <c r="N977" s="2">
        <v>313.93939393939303</v>
      </c>
      <c r="O977" s="2">
        <v>15398</v>
      </c>
      <c r="P977" s="301">
        <v>0.73306355629611997</v>
      </c>
      <c r="Q977" s="14">
        <v>344.24242424242402</v>
      </c>
      <c r="R977" s="2">
        <v>15793</v>
      </c>
      <c r="S977" s="301">
        <v>0.77386319090552724</v>
      </c>
      <c r="T977" s="14">
        <v>370.30304000000001</v>
      </c>
      <c r="U977" s="301">
        <v>-4.8786363910136722E-2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1591</v>
      </c>
      <c r="B978" s="2">
        <v>1861</v>
      </c>
      <c r="C978" s="301">
        <v>0.372497998398719</v>
      </c>
      <c r="D978" s="2">
        <v>187.272727272727</v>
      </c>
      <c r="E978" s="2">
        <v>1504</v>
      </c>
      <c r="F978" s="301">
        <v>0.39014267185473411</v>
      </c>
      <c r="G978" s="14">
        <v>170.90909090909</v>
      </c>
      <c r="H978" s="2">
        <v>1509</v>
      </c>
      <c r="I978" s="301">
        <v>0.39215176715176714</v>
      </c>
      <c r="J978" s="14">
        <v>187.27271999999999</v>
      </c>
      <c r="K978" s="301">
        <v>-0.1891456206340677</v>
      </c>
      <c r="L978" s="2">
        <v>6358</v>
      </c>
      <c r="M978" s="301">
        <v>0.27690431601411086</v>
      </c>
      <c r="N978" s="2">
        <v>304.84848484848402</v>
      </c>
      <c r="O978" s="2">
        <v>5607</v>
      </c>
      <c r="P978" s="301">
        <v>0.26693644370388003</v>
      </c>
      <c r="Q978" s="14">
        <v>270.30303030303003</v>
      </c>
      <c r="R978" s="2">
        <v>4615</v>
      </c>
      <c r="S978" s="301">
        <v>0.22613680909447276</v>
      </c>
      <c r="T978" s="14">
        <v>306.06060000000002</v>
      </c>
      <c r="U978" s="301">
        <v>-0.27414281220509595</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1894</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1706</v>
      </c>
      <c r="C981" s="304"/>
      <c r="D981" s="304" t="s">
        <v>1707</v>
      </c>
      <c r="E981" s="304" t="s">
        <v>1706</v>
      </c>
      <c r="F981" s="304"/>
      <c r="G981" s="304" t="s">
        <v>1707</v>
      </c>
      <c r="H981" s="304" t="s">
        <v>1706</v>
      </c>
      <c r="I981" s="304"/>
      <c r="J981" s="304" t="s">
        <v>1707</v>
      </c>
      <c r="K981" t="s">
        <v>172</v>
      </c>
      <c r="L981" s="304" t="s">
        <v>1706</v>
      </c>
      <c r="M981" s="304"/>
      <c r="N981" s="304" t="s">
        <v>1707</v>
      </c>
      <c r="O981" s="304" t="s">
        <v>1706</v>
      </c>
      <c r="P981" s="304"/>
      <c r="Q981" s="304" t="s">
        <v>1707</v>
      </c>
      <c r="R981" s="304" t="s">
        <v>1706</v>
      </c>
      <c r="S981" s="304"/>
      <c r="T981" s="304" t="s">
        <v>1707</v>
      </c>
      <c r="U981" t="s">
        <v>172</v>
      </c>
      <c r="V981" s="207" t="s">
        <v>1706</v>
      </c>
      <c r="W981" s="207"/>
      <c r="X981" s="207" t="s">
        <v>1707</v>
      </c>
      <c r="Y981" s="207" t="s">
        <v>1706</v>
      </c>
      <c r="Z981" s="207"/>
      <c r="AA981" s="207" t="s">
        <v>1707</v>
      </c>
      <c r="AB981" s="207" t="s">
        <v>1706</v>
      </c>
      <c r="AC981" s="207"/>
      <c r="AD981" s="207" t="s">
        <v>1707</v>
      </c>
      <c r="AE981" t="s">
        <v>172</v>
      </c>
    </row>
    <row r="982" spans="1:31" x14ac:dyDescent="0.3">
      <c r="A982" t="s">
        <v>174</v>
      </c>
      <c r="B982" s="2">
        <v>9447</v>
      </c>
      <c r="C982" t="s">
        <v>172</v>
      </c>
      <c r="D982" s="2">
        <v>236.969696969697</v>
      </c>
      <c r="E982" s="2">
        <v>11594</v>
      </c>
      <c r="F982" t="s">
        <v>172</v>
      </c>
      <c r="G982" s="14">
        <v>301.21212121212102</v>
      </c>
      <c r="H982" s="2">
        <v>12197</v>
      </c>
      <c r="I982" t="s">
        <v>172</v>
      </c>
      <c r="J982" s="14">
        <v>318.18182400000001</v>
      </c>
      <c r="K982" s="301">
        <v>0.29109770297448928</v>
      </c>
      <c r="L982" s="2">
        <v>15744</v>
      </c>
      <c r="M982" t="s">
        <v>172</v>
      </c>
      <c r="N982" s="2">
        <v>320.60606060606</v>
      </c>
      <c r="O982" s="2">
        <v>18912</v>
      </c>
      <c r="P982" t="s">
        <v>172</v>
      </c>
      <c r="Q982" s="14">
        <v>333.33333333333297</v>
      </c>
      <c r="R982" s="2">
        <v>20727</v>
      </c>
      <c r="S982" t="s">
        <v>172</v>
      </c>
      <c r="T982" s="14">
        <v>360</v>
      </c>
      <c r="U982" s="301">
        <v>0.31650152439024393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1588</v>
      </c>
      <c r="B983" s="2">
        <v>4189</v>
      </c>
      <c r="C983" s="301">
        <v>0.44342119191277657</v>
      </c>
      <c r="D983" s="2">
        <v>207.87878787878699</v>
      </c>
      <c r="E983" s="2">
        <v>4961</v>
      </c>
      <c r="F983" s="301">
        <v>0.42789373814041748</v>
      </c>
      <c r="G983" s="14">
        <v>281.81818181818102</v>
      </c>
      <c r="H983" s="2">
        <v>5950</v>
      </c>
      <c r="I983" s="301">
        <v>0.48782487496925475</v>
      </c>
      <c r="J983" s="14">
        <v>347.878784</v>
      </c>
      <c r="K983" s="301">
        <v>0.42038672714251613</v>
      </c>
      <c r="L983" s="2">
        <v>7870</v>
      </c>
      <c r="M983" s="301">
        <v>0.4998729674796748</v>
      </c>
      <c r="N983" s="2">
        <v>291.51515151515099</v>
      </c>
      <c r="O983" s="2">
        <v>9022</v>
      </c>
      <c r="P983" s="301">
        <v>0.47705160744500846</v>
      </c>
      <c r="Q983" s="14">
        <v>352.12121212121201</v>
      </c>
      <c r="R983" s="2">
        <v>11429</v>
      </c>
      <c r="S983" s="301">
        <v>0.55140637815409854</v>
      </c>
      <c r="T983" s="14">
        <v>369.69695999999999</v>
      </c>
      <c r="U983" s="301">
        <v>0.45222363405336724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1591</v>
      </c>
      <c r="B984" s="2">
        <v>5258</v>
      </c>
      <c r="C984" s="301">
        <v>0.55657880808722349</v>
      </c>
      <c r="D984" s="2">
        <v>184.84848484848399</v>
      </c>
      <c r="E984" s="2">
        <v>6633</v>
      </c>
      <c r="F984" s="301">
        <v>0.57210626185958258</v>
      </c>
      <c r="G984" s="14">
        <v>290.90909090909003</v>
      </c>
      <c r="H984" s="2">
        <v>6247</v>
      </c>
      <c r="I984" s="301">
        <v>0.51217512503074525</v>
      </c>
      <c r="J984" s="14">
        <v>308.48486300000002</v>
      </c>
      <c r="K984" s="301">
        <v>0.18809433244579687</v>
      </c>
      <c r="L984" s="2">
        <v>7874</v>
      </c>
      <c r="M984" s="301">
        <v>0.5001270325203252</v>
      </c>
      <c r="N984" s="2">
        <v>292.12121212121201</v>
      </c>
      <c r="O984" s="2">
        <v>9890</v>
      </c>
      <c r="P984" s="301">
        <v>0.52294839255499159</v>
      </c>
      <c r="Q984" s="14">
        <v>357.575757575757</v>
      </c>
      <c r="R984" s="2">
        <v>9298</v>
      </c>
      <c r="S984" s="301">
        <v>0.44859362184590146</v>
      </c>
      <c r="T984" s="14">
        <v>363.03030000000001</v>
      </c>
      <c r="U984" s="301">
        <v>0.18084836169672339</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1895</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1706</v>
      </c>
      <c r="C987" s="304"/>
      <c r="D987" s="304" t="s">
        <v>1707</v>
      </c>
      <c r="E987" s="304" t="s">
        <v>1706</v>
      </c>
      <c r="F987" s="304"/>
      <c r="G987" s="304" t="s">
        <v>1707</v>
      </c>
      <c r="H987" s="304" t="s">
        <v>1706</v>
      </c>
      <c r="I987" s="304"/>
      <c r="J987" s="304" t="s">
        <v>1707</v>
      </c>
      <c r="K987" t="s">
        <v>172</v>
      </c>
      <c r="L987" s="304" t="s">
        <v>1706</v>
      </c>
      <c r="M987" s="304"/>
      <c r="N987" s="304" t="s">
        <v>1707</v>
      </c>
      <c r="O987" s="304" t="s">
        <v>1706</v>
      </c>
      <c r="P987" s="304"/>
      <c r="Q987" s="304" t="s">
        <v>1707</v>
      </c>
      <c r="R987" s="304" t="s">
        <v>1706</v>
      </c>
      <c r="S987" s="304"/>
      <c r="T987" s="304" t="s">
        <v>1707</v>
      </c>
      <c r="U987" t="s">
        <v>172</v>
      </c>
      <c r="V987" s="207" t="s">
        <v>1706</v>
      </c>
      <c r="W987" s="207"/>
      <c r="X987" s="207" t="s">
        <v>1707</v>
      </c>
      <c r="Y987" s="207" t="s">
        <v>1706</v>
      </c>
      <c r="Z987" s="207"/>
      <c r="AA987" s="207" t="s">
        <v>1707</v>
      </c>
      <c r="AB987" s="207" t="s">
        <v>1706</v>
      </c>
      <c r="AC987" s="207"/>
      <c r="AD987" s="207" t="s">
        <v>1707</v>
      </c>
      <c r="AE987" t="s">
        <v>172</v>
      </c>
    </row>
    <row r="988" spans="1:31" x14ac:dyDescent="0.3">
      <c r="A988" t="s">
        <v>174</v>
      </c>
      <c r="B988" s="2">
        <v>1741</v>
      </c>
      <c r="C988" t="s">
        <v>172</v>
      </c>
      <c r="D988" s="2">
        <v>184.24242424242399</v>
      </c>
      <c r="E988" s="2">
        <v>1103</v>
      </c>
      <c r="F988" t="s">
        <v>172</v>
      </c>
      <c r="G988" s="14">
        <v>180</v>
      </c>
      <c r="H988" s="2">
        <v>1115</v>
      </c>
      <c r="I988" t="s">
        <v>172</v>
      </c>
      <c r="J988" s="14">
        <v>176.363632</v>
      </c>
      <c r="K988" s="301">
        <v>-0.35956346927053418</v>
      </c>
      <c r="L988" s="2">
        <v>6597</v>
      </c>
      <c r="M988" t="s">
        <v>172</v>
      </c>
      <c r="N988" s="2">
        <v>351.51515151515099</v>
      </c>
      <c r="O988" s="2">
        <v>6545</v>
      </c>
      <c r="P988" t="s">
        <v>172</v>
      </c>
      <c r="Q988" s="14">
        <v>412.12121212121201</v>
      </c>
      <c r="R988" s="2">
        <v>6001</v>
      </c>
      <c r="S988" t="s">
        <v>172</v>
      </c>
      <c r="T988" s="14">
        <v>289.09089999999998</v>
      </c>
      <c r="U988" s="301">
        <v>-9.0344095801121724E-2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1896</v>
      </c>
      <c r="B989" s="2">
        <v>474</v>
      </c>
      <c r="C989" s="301">
        <v>0.27225732337736935</v>
      </c>
      <c r="D989" s="2">
        <v>112.72727272727199</v>
      </c>
      <c r="E989" s="2">
        <v>403</v>
      </c>
      <c r="F989" s="301">
        <v>0.36536718041704441</v>
      </c>
      <c r="G989" s="14">
        <v>106.666666666666</v>
      </c>
      <c r="H989" s="2">
        <v>233</v>
      </c>
      <c r="I989" s="301">
        <v>0.20896860986547086</v>
      </c>
      <c r="J989" s="14">
        <v>76.969695999999999</v>
      </c>
      <c r="K989" s="301">
        <v>-0.50843881856540085</v>
      </c>
      <c r="L989" s="2">
        <v>773</v>
      </c>
      <c r="M989" s="301">
        <v>0.11717447324541458</v>
      </c>
      <c r="N989" s="2">
        <v>147.272727272727</v>
      </c>
      <c r="O989" s="2">
        <v>826</v>
      </c>
      <c r="P989" s="301">
        <v>0.12620320855614972</v>
      </c>
      <c r="Q989" s="14">
        <v>153.939393939393</v>
      </c>
      <c r="R989" s="2">
        <v>614</v>
      </c>
      <c r="S989" s="301">
        <v>0.10231628061989669</v>
      </c>
      <c r="T989" s="14">
        <v>122.42424</v>
      </c>
      <c r="U989" s="301">
        <v>-0.2056921086675291</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1897</v>
      </c>
      <c r="B990" s="2">
        <v>61</v>
      </c>
      <c r="C990" s="301">
        <v>3.5037334865020101E-2</v>
      </c>
      <c r="D990" s="2">
        <v>35.757575757575701</v>
      </c>
      <c r="E990" s="2">
        <v>20</v>
      </c>
      <c r="F990" s="301">
        <v>1.8132366273798731E-2</v>
      </c>
      <c r="G990" s="14">
        <v>21.818181818181799</v>
      </c>
      <c r="H990" s="2">
        <v>82</v>
      </c>
      <c r="I990" s="301">
        <v>7.3542600896860988E-2</v>
      </c>
      <c r="J990" s="14">
        <v>50.303031900000001</v>
      </c>
      <c r="K990" s="301">
        <v>0.34426229508196721</v>
      </c>
      <c r="L990" s="2">
        <v>93</v>
      </c>
      <c r="M990" s="301">
        <v>1.4097316962255571E-2</v>
      </c>
      <c r="N990" s="2">
        <v>44.2424242424242</v>
      </c>
      <c r="O990" s="2">
        <v>112</v>
      </c>
      <c r="P990" s="301">
        <v>1.7112299465240642E-2</v>
      </c>
      <c r="Q990" s="14">
        <v>56.969696969696898</v>
      </c>
      <c r="R990" s="2">
        <v>152</v>
      </c>
      <c r="S990" s="301">
        <v>2.532911181469755E-2</v>
      </c>
      <c r="T990" s="14">
        <v>58.787880000000001</v>
      </c>
      <c r="U990" s="301">
        <v>0.63440860215053763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1898</v>
      </c>
      <c r="B991" s="2">
        <v>512</v>
      </c>
      <c r="C991" s="301">
        <v>0.29408385985066055</v>
      </c>
      <c r="D991" s="2">
        <v>123.030303030303</v>
      </c>
      <c r="E991" s="2">
        <v>133</v>
      </c>
      <c r="F991" s="301">
        <v>0.12058023572076156</v>
      </c>
      <c r="G991" s="14">
        <v>50.303030303030297</v>
      </c>
      <c r="H991" s="2">
        <v>107</v>
      </c>
      <c r="I991" s="301">
        <v>9.5964125560538113E-2</v>
      </c>
      <c r="J991" s="14">
        <v>60</v>
      </c>
      <c r="K991" s="301">
        <v>-0.791015625</v>
      </c>
      <c r="L991" s="2">
        <v>1472</v>
      </c>
      <c r="M991" s="301">
        <v>0.22313172654236774</v>
      </c>
      <c r="N991" s="2">
        <v>213.939393939393</v>
      </c>
      <c r="O991" s="2">
        <v>438</v>
      </c>
      <c r="P991" s="301">
        <v>6.6921313980137509E-2</v>
      </c>
      <c r="Q991" s="14">
        <v>119.39393939393899</v>
      </c>
      <c r="R991" s="2">
        <v>546</v>
      </c>
      <c r="S991" s="301">
        <v>9.098483586068988E-2</v>
      </c>
      <c r="T991" s="14">
        <v>140</v>
      </c>
      <c r="U991" s="301">
        <v>-0.62907608695652173</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1899</v>
      </c>
      <c r="B992" s="2">
        <v>37</v>
      </c>
      <c r="C992" s="301">
        <v>2.1252153934520391E-2</v>
      </c>
      <c r="D992" s="2">
        <v>33.939393939393902</v>
      </c>
      <c r="E992" s="2">
        <v>154</v>
      </c>
      <c r="F992" s="301">
        <v>0.13961922030825022</v>
      </c>
      <c r="G992" s="14">
        <v>80.606060606060595</v>
      </c>
      <c r="H992" s="2">
        <v>82</v>
      </c>
      <c r="I992" s="301">
        <v>7.3542600896860988E-2</v>
      </c>
      <c r="J992" s="14">
        <v>55.151516000000001</v>
      </c>
      <c r="K992" s="301">
        <v>1.2162162162162162</v>
      </c>
      <c r="L992" s="2">
        <v>81</v>
      </c>
      <c r="M992" s="301">
        <v>1.227830832196453E-2</v>
      </c>
      <c r="N992" s="2">
        <v>42.424242424242401</v>
      </c>
      <c r="O992" s="2">
        <v>213</v>
      </c>
      <c r="P992" s="301">
        <v>3.254392666157372E-2</v>
      </c>
      <c r="Q992" s="14">
        <v>89.696969696969703</v>
      </c>
      <c r="R992" s="2">
        <v>280</v>
      </c>
      <c r="S992" s="301">
        <v>4.6658890184969173E-2</v>
      </c>
      <c r="T992" s="14">
        <v>98.787880000000001</v>
      </c>
      <c r="U992" s="301">
        <v>2.4567901234567899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1900</v>
      </c>
      <c r="B993" s="2">
        <v>250</v>
      </c>
      <c r="C993" s="301">
        <v>0.14359563469270534</v>
      </c>
      <c r="D993" s="2">
        <v>83.030303030303003</v>
      </c>
      <c r="E993" s="2">
        <v>179</v>
      </c>
      <c r="F993" s="301">
        <v>0.16228467815049863</v>
      </c>
      <c r="G993" s="14">
        <v>69.696969696969703</v>
      </c>
      <c r="H993" s="2">
        <v>104</v>
      </c>
      <c r="I993" s="301">
        <v>9.3273542600896861E-2</v>
      </c>
      <c r="J993" s="14">
        <v>64.848489999999998</v>
      </c>
      <c r="K993" s="301">
        <v>-0.58399999999999996</v>
      </c>
      <c r="L993" s="2">
        <v>3035</v>
      </c>
      <c r="M993" s="301">
        <v>0.4600576019402759</v>
      </c>
      <c r="N993" s="2">
        <v>223.030303030303</v>
      </c>
      <c r="O993" s="2">
        <v>3875</v>
      </c>
      <c r="P993" s="301">
        <v>0.59205500381970966</v>
      </c>
      <c r="Q993" s="14">
        <v>310.90909090909003</v>
      </c>
      <c r="R993" s="2">
        <v>2487</v>
      </c>
      <c r="S993" s="301">
        <v>0.41443092817863691</v>
      </c>
      <c r="T993" s="14">
        <v>258.18182400000001</v>
      </c>
      <c r="U993" s="301">
        <v>-0.18056013179571664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1901</v>
      </c>
      <c r="B994" s="2">
        <v>0</v>
      </c>
      <c r="C994" s="301">
        <v>0</v>
      </c>
      <c r="D994" s="2">
        <v>80</v>
      </c>
      <c r="E994" s="2">
        <v>76</v>
      </c>
      <c r="F994" s="301">
        <v>6.8902991840435177E-2</v>
      </c>
      <c r="G994" s="14">
        <v>44.2424242424242</v>
      </c>
      <c r="H994" s="2">
        <v>0</v>
      </c>
      <c r="I994" s="301">
        <v>0</v>
      </c>
      <c r="J994" s="14">
        <v>18.787877999999999</v>
      </c>
      <c r="L994" s="2">
        <v>204</v>
      </c>
      <c r="M994" s="301">
        <v>3.0923146884947704E-2</v>
      </c>
      <c r="N994" s="2">
        <v>59.393939393939398</v>
      </c>
      <c r="O994" s="2">
        <v>205</v>
      </c>
      <c r="P994" s="301">
        <v>3.1321619556913677E-2</v>
      </c>
      <c r="Q994" s="14">
        <v>60</v>
      </c>
      <c r="R994" s="2">
        <v>105</v>
      </c>
      <c r="S994" s="301">
        <v>1.7497083819363438E-2</v>
      </c>
      <c r="T994" s="14">
        <v>45.4545441</v>
      </c>
      <c r="U994" s="301">
        <v>-0.48529411764705882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1902</v>
      </c>
      <c r="B995" s="2">
        <v>407</v>
      </c>
      <c r="C995" s="301">
        <v>0.2337736932797243</v>
      </c>
      <c r="D995" s="2">
        <v>97.575757575757606</v>
      </c>
      <c r="E995" s="2">
        <v>138</v>
      </c>
      <c r="F995" s="301">
        <v>0.12511332728921123</v>
      </c>
      <c r="G995" s="14">
        <v>52.121212121212103</v>
      </c>
      <c r="H995" s="2">
        <v>507</v>
      </c>
      <c r="I995" s="301">
        <v>0.45470852017937219</v>
      </c>
      <c r="J995" s="14">
        <v>136.96969999999999</v>
      </c>
      <c r="K995" s="301">
        <v>0.24570024570024571</v>
      </c>
      <c r="L995" s="2">
        <v>939</v>
      </c>
      <c r="M995" s="301">
        <v>0.142337426102774</v>
      </c>
      <c r="N995" s="2">
        <v>164.24242424242399</v>
      </c>
      <c r="O995" s="2">
        <v>876</v>
      </c>
      <c r="P995" s="301">
        <v>0.13384262796027502</v>
      </c>
      <c r="Q995" s="14">
        <v>134.54545454545399</v>
      </c>
      <c r="R995" s="2">
        <v>1817</v>
      </c>
      <c r="S995" s="301">
        <v>0.30278286952174638</v>
      </c>
      <c r="T995" s="14">
        <v>201.81817599999999</v>
      </c>
      <c r="U995" s="301">
        <v>0.93503727369542067</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1903</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1706</v>
      </c>
      <c r="C998" s="304"/>
      <c r="D998" s="304" t="s">
        <v>1707</v>
      </c>
      <c r="E998" s="304" t="s">
        <v>1706</v>
      </c>
      <c r="F998" s="304"/>
      <c r="G998" s="304" t="s">
        <v>1707</v>
      </c>
      <c r="H998" s="304" t="s">
        <v>1706</v>
      </c>
      <c r="I998" s="304"/>
      <c r="J998" s="304" t="s">
        <v>1707</v>
      </c>
      <c r="K998" t="s">
        <v>172</v>
      </c>
      <c r="L998" s="304" t="s">
        <v>1706</v>
      </c>
      <c r="M998" s="304"/>
      <c r="N998" s="304" t="s">
        <v>1707</v>
      </c>
      <c r="O998" s="304" t="s">
        <v>1706</v>
      </c>
      <c r="P998" s="304"/>
      <c r="Q998" s="304" t="s">
        <v>1707</v>
      </c>
      <c r="R998" s="304" t="s">
        <v>1706</v>
      </c>
      <c r="S998" s="304"/>
      <c r="T998" s="304" t="s">
        <v>1707</v>
      </c>
      <c r="U998" t="s">
        <v>172</v>
      </c>
      <c r="V998" s="207" t="s">
        <v>1706</v>
      </c>
      <c r="W998" s="207"/>
      <c r="X998" s="207" t="s">
        <v>1707</v>
      </c>
      <c r="Y998" s="207" t="s">
        <v>1706</v>
      </c>
      <c r="Z998" s="207"/>
      <c r="AA998" s="207" t="s">
        <v>1707</v>
      </c>
      <c r="AB998" s="207" t="s">
        <v>1706</v>
      </c>
      <c r="AC998" s="207"/>
      <c r="AD998" s="207" t="s">
        <v>1707</v>
      </c>
      <c r="AE998" t="s">
        <v>172</v>
      </c>
    </row>
    <row r="999" spans="1:31" x14ac:dyDescent="0.3">
      <c r="A999" t="s">
        <v>174</v>
      </c>
      <c r="B999" s="2">
        <v>15857</v>
      </c>
      <c r="C999" t="s">
        <v>172</v>
      </c>
      <c r="D999" s="2">
        <v>297.575757575757</v>
      </c>
      <c r="E999" s="2">
        <v>16791</v>
      </c>
      <c r="F999" t="s">
        <v>172</v>
      </c>
      <c r="G999" s="14">
        <v>318.18181818181802</v>
      </c>
      <c r="H999" s="2">
        <v>17598</v>
      </c>
      <c r="I999" t="s">
        <v>172</v>
      </c>
      <c r="J999" s="14">
        <v>315.75756799999999</v>
      </c>
      <c r="K999" s="301">
        <v>0.1097937819259633</v>
      </c>
      <c r="L999" s="2">
        <v>42089</v>
      </c>
      <c r="M999" t="s">
        <v>172</v>
      </c>
      <c r="N999" s="2">
        <v>393.33333333333297</v>
      </c>
      <c r="O999" s="2">
        <v>43159</v>
      </c>
      <c r="P999" t="s">
        <v>172</v>
      </c>
      <c r="Q999" s="14">
        <v>457.575757575757</v>
      </c>
      <c r="R999" s="2">
        <v>44479</v>
      </c>
      <c r="S999" t="s">
        <v>172</v>
      </c>
      <c r="T999" s="14">
        <v>306.06060000000002</v>
      </c>
      <c r="U999" s="301">
        <v>5.6784432987241319E-2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1588</v>
      </c>
      <c r="B1000" s="2">
        <v>8081</v>
      </c>
      <c r="C1000" s="301">
        <v>0.50961720375859243</v>
      </c>
      <c r="D1000" s="2">
        <v>304.84848484848402</v>
      </c>
      <c r="E1000" s="2">
        <v>8016</v>
      </c>
      <c r="F1000" s="301">
        <v>0.47739860639628373</v>
      </c>
      <c r="G1000" s="14">
        <v>314.54545454545399</v>
      </c>
      <c r="H1000" s="2">
        <v>8909</v>
      </c>
      <c r="I1000" s="301">
        <v>0.50625071030798952</v>
      </c>
      <c r="J1000" s="14">
        <v>390.30304000000001</v>
      </c>
      <c r="K1000" s="301">
        <v>0.1024625665140453</v>
      </c>
      <c r="L1000" s="2">
        <v>26535</v>
      </c>
      <c r="M1000" s="301">
        <v>0.6304497612202713</v>
      </c>
      <c r="N1000" s="2">
        <v>493.93939393939399</v>
      </c>
      <c r="O1000" s="2">
        <v>26275</v>
      </c>
      <c r="P1000" s="301">
        <v>0.6087953845084455</v>
      </c>
      <c r="Q1000" s="14">
        <v>477.575757575757</v>
      </c>
      <c r="R1000" s="2">
        <v>29270</v>
      </c>
      <c r="S1000" s="301">
        <v>0.65806335574091146</v>
      </c>
      <c r="T1000" s="14">
        <v>513.33330000000001</v>
      </c>
      <c r="U1000" s="301">
        <v>0.10307141511211608</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1904</v>
      </c>
      <c r="B1001" s="2">
        <v>68</v>
      </c>
      <c r="C1001" s="301">
        <v>4.2883269218641608E-3</v>
      </c>
      <c r="D1001" s="2">
        <v>27.878787878787801</v>
      </c>
      <c r="E1001" s="2">
        <v>110</v>
      </c>
      <c r="F1001" s="301">
        <v>6.5511285807873269E-3</v>
      </c>
      <c r="G1001" s="14">
        <v>38.181818181818102</v>
      </c>
      <c r="H1001" s="2">
        <v>31</v>
      </c>
      <c r="I1001" s="301">
        <v>1.7615638140697806E-3</v>
      </c>
      <c r="J1001" s="14">
        <v>29.090910000000001</v>
      </c>
      <c r="K1001" s="301">
        <v>-0.54411764705882348</v>
      </c>
      <c r="L1001" s="2">
        <v>257</v>
      </c>
      <c r="M1001" s="301">
        <v>6.1061084844021007E-3</v>
      </c>
      <c r="N1001" s="2">
        <v>60.606060606060602</v>
      </c>
      <c r="O1001" s="2">
        <v>306</v>
      </c>
      <c r="P1001" s="301">
        <v>7.0900623276720963E-3</v>
      </c>
      <c r="Q1001" s="14">
        <v>80</v>
      </c>
      <c r="R1001" s="2">
        <v>140</v>
      </c>
      <c r="S1001" s="301">
        <v>3.1475527777153262E-3</v>
      </c>
      <c r="T1001" s="14">
        <v>47.272728000000001</v>
      </c>
      <c r="U1001" s="301">
        <v>-0.45525291828793774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1905</v>
      </c>
      <c r="B1002" s="2">
        <v>1157</v>
      </c>
      <c r="C1002" s="301">
        <v>7.2964621302894619E-2</v>
      </c>
      <c r="D1002" s="2">
        <v>147.87878787878699</v>
      </c>
      <c r="E1002" s="2">
        <v>1099</v>
      </c>
      <c r="F1002" s="301">
        <v>6.5451730093502469E-2</v>
      </c>
      <c r="G1002" s="14">
        <v>147.87878787878699</v>
      </c>
      <c r="H1002" s="2">
        <v>1074</v>
      </c>
      <c r="I1002" s="301">
        <v>6.1029662461643368E-2</v>
      </c>
      <c r="J1002" s="14">
        <v>163.03030000000001</v>
      </c>
      <c r="K1002" s="301">
        <v>-7.1737251512532407E-2</v>
      </c>
      <c r="L1002" s="2">
        <v>2226</v>
      </c>
      <c r="M1002" s="301">
        <v>5.2887927962175389E-2</v>
      </c>
      <c r="N1002" s="2">
        <v>191.51515151515099</v>
      </c>
      <c r="O1002" s="2">
        <v>2400</v>
      </c>
      <c r="P1002" s="301">
        <v>5.5608331981741928E-2</v>
      </c>
      <c r="Q1002" s="14">
        <v>200.60606060606</v>
      </c>
      <c r="R1002" s="2">
        <v>2876</v>
      </c>
      <c r="S1002" s="301">
        <v>6.4659727062209127E-2</v>
      </c>
      <c r="T1002" s="14">
        <v>243.636368</v>
      </c>
      <c r="U1002" s="301">
        <v>0.29200359389038633</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1906</v>
      </c>
      <c r="B1003" s="2">
        <v>1530</v>
      </c>
      <c r="C1003" s="301">
        <v>9.6487355741943615E-2</v>
      </c>
      <c r="D1003" s="2">
        <v>143.030303030303</v>
      </c>
      <c r="E1003" s="2">
        <v>1652</v>
      </c>
      <c r="F1003" s="301">
        <v>9.8386040140551481E-2</v>
      </c>
      <c r="G1003" s="14">
        <v>169.09090909090901</v>
      </c>
      <c r="H1003" s="2">
        <v>1486</v>
      </c>
      <c r="I1003" s="301">
        <v>8.4441413797022385E-2</v>
      </c>
      <c r="J1003" s="14">
        <v>219.393936</v>
      </c>
      <c r="K1003" s="301">
        <v>-2.8758169934640521E-2</v>
      </c>
      <c r="L1003" s="2">
        <v>4617</v>
      </c>
      <c r="M1003" s="301">
        <v>0.10969612012639882</v>
      </c>
      <c r="N1003" s="2">
        <v>256.36363636363598</v>
      </c>
      <c r="O1003" s="2">
        <v>3910</v>
      </c>
      <c r="P1003" s="301">
        <v>9.0595240853587902E-2</v>
      </c>
      <c r="Q1003" s="14">
        <v>208.48484848484799</v>
      </c>
      <c r="R1003" s="2">
        <v>4006</v>
      </c>
      <c r="S1003" s="301">
        <v>9.0064974482339979E-2</v>
      </c>
      <c r="T1003" s="14">
        <v>278.78787199999999</v>
      </c>
      <c r="U1003" s="301">
        <v>-0.13233701537795106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1907</v>
      </c>
      <c r="B1004" s="2">
        <v>1985</v>
      </c>
      <c r="C1004" s="301">
        <v>0.12518130793971116</v>
      </c>
      <c r="D1004" s="2">
        <v>164.24242424242399</v>
      </c>
      <c r="E1004" s="2">
        <v>1706</v>
      </c>
      <c r="F1004" s="301">
        <v>0.10160204871657436</v>
      </c>
      <c r="G1004" s="14">
        <v>144.84848484848399</v>
      </c>
      <c r="H1004" s="2">
        <v>2333</v>
      </c>
      <c r="I1004" s="301">
        <v>0.13257188316854188</v>
      </c>
      <c r="J1004" s="14">
        <v>230.909088</v>
      </c>
      <c r="K1004" s="301">
        <v>0.17531486146095718</v>
      </c>
      <c r="L1004" s="2">
        <v>6017</v>
      </c>
      <c r="M1004" s="301">
        <v>0.1429589679013519</v>
      </c>
      <c r="N1004" s="2">
        <v>247.87878787878699</v>
      </c>
      <c r="O1004" s="2">
        <v>4699</v>
      </c>
      <c r="P1004" s="301">
        <v>0.10887647999258555</v>
      </c>
      <c r="Q1004" s="14">
        <v>253.333333333333</v>
      </c>
      <c r="R1004" s="2">
        <v>5820</v>
      </c>
      <c r="S1004" s="301">
        <v>0.13084826547359429</v>
      </c>
      <c r="T1004" s="14">
        <v>287.27273600000001</v>
      </c>
      <c r="U1004" s="301">
        <v>-3.2740568389562907E-2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1908</v>
      </c>
      <c r="B1005" s="2">
        <v>614</v>
      </c>
      <c r="C1005" s="301">
        <v>3.8721069559185216E-2</v>
      </c>
      <c r="D1005" s="2">
        <v>111.515151515151</v>
      </c>
      <c r="E1005" s="2">
        <v>892</v>
      </c>
      <c r="F1005" s="301">
        <v>5.3123697218748142E-2</v>
      </c>
      <c r="G1005" s="14">
        <v>113.333333333333</v>
      </c>
      <c r="H1005" s="2">
        <v>1051</v>
      </c>
      <c r="I1005" s="301">
        <v>5.9722695760881919E-2</v>
      </c>
      <c r="J1005" s="14">
        <v>164.24243200000001</v>
      </c>
      <c r="K1005" s="301">
        <v>0.71172638436482083</v>
      </c>
      <c r="L1005" s="2">
        <v>3010</v>
      </c>
      <c r="M1005" s="301">
        <v>7.1515122716149113E-2</v>
      </c>
      <c r="N1005" s="2">
        <v>179.39393939393901</v>
      </c>
      <c r="O1005" s="2">
        <v>3178</v>
      </c>
      <c r="P1005" s="301">
        <v>7.3634699599156611E-2</v>
      </c>
      <c r="Q1005" s="14">
        <v>165.45454545454501</v>
      </c>
      <c r="R1005" s="2">
        <v>2931</v>
      </c>
      <c r="S1005" s="301">
        <v>6.5896265653454439E-2</v>
      </c>
      <c r="T1005" s="14">
        <v>260.60604899999998</v>
      </c>
      <c r="U1005" s="301">
        <v>-2.6245847176079733E-2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1909</v>
      </c>
      <c r="B1006" s="2">
        <v>677</v>
      </c>
      <c r="C1006" s="301">
        <v>4.2694078325029958E-2</v>
      </c>
      <c r="D1006" s="2">
        <v>102.424242424242</v>
      </c>
      <c r="E1006" s="2">
        <v>727</v>
      </c>
      <c r="F1006" s="301">
        <v>4.3297004347567149E-2</v>
      </c>
      <c r="G1006" s="14">
        <v>115.757575757575</v>
      </c>
      <c r="H1006" s="2">
        <v>915</v>
      </c>
      <c r="I1006" s="301">
        <v>5.1994544834640298E-2</v>
      </c>
      <c r="J1006" s="14">
        <v>124.848488</v>
      </c>
      <c r="K1006" s="301">
        <v>0.35155096011816839</v>
      </c>
      <c r="L1006" s="2">
        <v>2879</v>
      </c>
      <c r="M1006" s="301">
        <v>6.8402670531492793E-2</v>
      </c>
      <c r="N1006" s="2">
        <v>195.15151515151501</v>
      </c>
      <c r="O1006" s="2">
        <v>3013</v>
      </c>
      <c r="P1006" s="301">
        <v>6.9811626775411847E-2</v>
      </c>
      <c r="Q1006" s="14">
        <v>182.42424242424201</v>
      </c>
      <c r="R1006" s="2">
        <v>3294</v>
      </c>
      <c r="S1006" s="301">
        <v>7.4057420355673462E-2</v>
      </c>
      <c r="T1006" s="14">
        <v>224.84848</v>
      </c>
      <c r="U1006" s="301">
        <v>0.14414727335880514</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1910</v>
      </c>
      <c r="B1007" s="2">
        <v>1082</v>
      </c>
      <c r="C1007" s="301">
        <v>6.8234848962603262E-2</v>
      </c>
      <c r="D1007" s="2">
        <v>105.454545454545</v>
      </c>
      <c r="E1007" s="2">
        <v>1126</v>
      </c>
      <c r="F1007" s="301">
        <v>6.70597343815139E-2</v>
      </c>
      <c r="G1007" s="14">
        <v>119.39393939393899</v>
      </c>
      <c r="H1007" s="2">
        <v>1255</v>
      </c>
      <c r="I1007" s="301">
        <v>7.1314922150244348E-2</v>
      </c>
      <c r="J1007" s="14">
        <v>134.545456</v>
      </c>
      <c r="K1007" s="301">
        <v>0.15988909426987061</v>
      </c>
      <c r="L1007" s="2">
        <v>4324</v>
      </c>
      <c r="M1007" s="301">
        <v>0.10273468127064078</v>
      </c>
      <c r="N1007" s="2">
        <v>181.81818181818099</v>
      </c>
      <c r="O1007" s="2">
        <v>5301</v>
      </c>
      <c r="P1007" s="301">
        <v>0.12282490326467249</v>
      </c>
      <c r="Q1007" s="14">
        <v>181.81818181818099</v>
      </c>
      <c r="R1007" s="2">
        <v>6391</v>
      </c>
      <c r="S1007" s="301">
        <v>0.14368578430270465</v>
      </c>
      <c r="T1007" s="14">
        <v>207.27271999999999</v>
      </c>
      <c r="U1007" s="301">
        <v>0.47802960222016649</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1911</v>
      </c>
      <c r="B1008" s="2">
        <v>622</v>
      </c>
      <c r="C1008" s="301">
        <v>3.9225578608816293E-2</v>
      </c>
      <c r="D1008" s="2">
        <v>91.515151515151501</v>
      </c>
      <c r="E1008" s="2">
        <v>511</v>
      </c>
      <c r="F1008" s="301">
        <v>3.0432970043475671E-2</v>
      </c>
      <c r="G1008" s="14">
        <v>86.060606060606005</v>
      </c>
      <c r="H1008" s="2">
        <v>463</v>
      </c>
      <c r="I1008" s="301">
        <v>2.6309807932719628E-2</v>
      </c>
      <c r="J1008" s="14">
        <v>102.42424</v>
      </c>
      <c r="K1008" s="301">
        <v>-0.25562700964630225</v>
      </c>
      <c r="L1008" s="2">
        <v>2308</v>
      </c>
      <c r="M1008" s="301">
        <v>5.4836180474708354E-2</v>
      </c>
      <c r="N1008" s="2">
        <v>157.575757575757</v>
      </c>
      <c r="O1008" s="2">
        <v>2847</v>
      </c>
      <c r="P1008" s="301">
        <v>6.5965383813341369E-2</v>
      </c>
      <c r="Q1008" s="14">
        <v>162.42424242424201</v>
      </c>
      <c r="R1008" s="2">
        <v>2711</v>
      </c>
      <c r="S1008" s="301">
        <v>6.0950111288473212E-2</v>
      </c>
      <c r="T1008" s="14">
        <v>143.03030000000001</v>
      </c>
      <c r="U1008" s="301">
        <v>0.17461005199306759</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1912</v>
      </c>
      <c r="B1009" s="2">
        <v>346</v>
      </c>
      <c r="C1009" s="301">
        <v>2.1820016396544115E-2</v>
      </c>
      <c r="D1009" s="2">
        <v>79.393939393939405</v>
      </c>
      <c r="E1009" s="2">
        <v>193</v>
      </c>
      <c r="F1009" s="301">
        <v>1.1494252873563218E-2</v>
      </c>
      <c r="G1009" s="14">
        <v>47.272727272727202</v>
      </c>
      <c r="H1009" s="2">
        <v>301</v>
      </c>
      <c r="I1009" s="301">
        <v>1.7104216388225936E-2</v>
      </c>
      <c r="J1009" s="14">
        <v>101.21212</v>
      </c>
      <c r="K1009" s="301">
        <v>-0.13005780346820808</v>
      </c>
      <c r="L1009" s="2">
        <v>897</v>
      </c>
      <c r="M1009" s="301">
        <v>2.1311981752952076E-2</v>
      </c>
      <c r="N1009" s="2">
        <v>116.363636363636</v>
      </c>
      <c r="O1009" s="2">
        <v>621</v>
      </c>
      <c r="P1009" s="301">
        <v>1.4388655900275724E-2</v>
      </c>
      <c r="Q1009" s="14">
        <v>92.727272727272705</v>
      </c>
      <c r="R1009" s="2">
        <v>1101</v>
      </c>
      <c r="S1009" s="301">
        <v>2.4753254344746959E-2</v>
      </c>
      <c r="T1009" s="14">
        <v>121.818184</v>
      </c>
      <c r="U1009" s="301">
        <v>0.22742474916387959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1591</v>
      </c>
      <c r="B1010" s="2">
        <v>7776</v>
      </c>
      <c r="C1010" s="301">
        <v>0.49038279624140757</v>
      </c>
      <c r="D1010" s="2">
        <v>295.15151515151501</v>
      </c>
      <c r="E1010" s="2">
        <v>8775</v>
      </c>
      <c r="F1010" s="301">
        <v>0.52260139360371627</v>
      </c>
      <c r="G1010" s="14">
        <v>323.030303030303</v>
      </c>
      <c r="H1010" s="2">
        <v>8689</v>
      </c>
      <c r="I1010" s="301">
        <v>0.49374928969201043</v>
      </c>
      <c r="J1010" s="14">
        <v>351.51513699999998</v>
      </c>
      <c r="K1010" s="301">
        <v>0.11741255144032922</v>
      </c>
      <c r="L1010" s="2">
        <v>15554</v>
      </c>
      <c r="M1010" s="301">
        <v>0.36955023877972865</v>
      </c>
      <c r="N1010" s="2">
        <v>477.575757575757</v>
      </c>
      <c r="O1010" s="2">
        <v>16884</v>
      </c>
      <c r="P1010" s="301">
        <v>0.3912046154915545</v>
      </c>
      <c r="Q1010" s="14">
        <v>432.12121212121201</v>
      </c>
      <c r="R1010" s="2">
        <v>15209</v>
      </c>
      <c r="S1010" s="301">
        <v>0.34193664425908854</v>
      </c>
      <c r="T1010" s="14">
        <v>513.93939999999998</v>
      </c>
      <c r="U1010" s="301">
        <v>-2.218078950752218E-2</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1904</v>
      </c>
      <c r="B1011" s="2">
        <v>744</v>
      </c>
      <c r="C1011" s="301">
        <v>4.6919341615690231E-2</v>
      </c>
      <c r="D1011" s="2">
        <v>118.787878787878</v>
      </c>
      <c r="E1011" s="2">
        <v>729</v>
      </c>
      <c r="F1011" s="301">
        <v>4.3416115776308738E-2</v>
      </c>
      <c r="G1011" s="14">
        <v>98.181818181818201</v>
      </c>
      <c r="H1011" s="2">
        <v>643</v>
      </c>
      <c r="I1011" s="301">
        <v>3.6538242982157063E-2</v>
      </c>
      <c r="J1011" s="14">
        <v>235.75756799999999</v>
      </c>
      <c r="K1011" s="301">
        <v>-0.135752688172043</v>
      </c>
      <c r="L1011" s="2">
        <v>1206</v>
      </c>
      <c r="M1011" s="301">
        <v>2.8653567440423865E-2</v>
      </c>
      <c r="N1011" s="2">
        <v>159.39393939393901</v>
      </c>
      <c r="O1011" s="2">
        <v>1194</v>
      </c>
      <c r="P1011" s="301">
        <v>2.7665145160916612E-2</v>
      </c>
      <c r="Q1011" s="14">
        <v>142.42424242424201</v>
      </c>
      <c r="R1011" s="2">
        <v>844</v>
      </c>
      <c r="S1011" s="301">
        <v>1.8975246745655254E-2</v>
      </c>
      <c r="T1011" s="14">
        <v>244.24243200000001</v>
      </c>
      <c r="U1011" s="301">
        <v>-0.30016583747927034</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1905</v>
      </c>
      <c r="B1012" s="2">
        <v>2331</v>
      </c>
      <c r="C1012" s="301">
        <v>0.14700132433625529</v>
      </c>
      <c r="D1012" s="2">
        <v>187.272727272727</v>
      </c>
      <c r="E1012" s="2">
        <v>2327</v>
      </c>
      <c r="F1012" s="301">
        <v>0.13858614734083735</v>
      </c>
      <c r="G1012" s="14">
        <v>181.81818181818099</v>
      </c>
      <c r="H1012" s="2">
        <v>2401</v>
      </c>
      <c r="I1012" s="301">
        <v>0.13643595863166269</v>
      </c>
      <c r="J1012" s="14">
        <v>247.27271999999999</v>
      </c>
      <c r="K1012" s="301">
        <v>3.003003003003003E-2</v>
      </c>
      <c r="L1012" s="2">
        <v>4617</v>
      </c>
      <c r="M1012" s="301">
        <v>0.10969612012639882</v>
      </c>
      <c r="N1012" s="2">
        <v>270.30303030303003</v>
      </c>
      <c r="O1012" s="2">
        <v>4157</v>
      </c>
      <c r="P1012" s="301">
        <v>9.6318265020042176E-2</v>
      </c>
      <c r="Q1012" s="14">
        <v>287.87878787878702</v>
      </c>
      <c r="R1012" s="2">
        <v>3995</v>
      </c>
      <c r="S1012" s="301">
        <v>8.981766676409092E-2</v>
      </c>
      <c r="T1012" s="14">
        <v>254.545456</v>
      </c>
      <c r="U1012" s="301">
        <v>-0.1347195148364739</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1906</v>
      </c>
      <c r="B1013" s="2">
        <v>1978</v>
      </c>
      <c r="C1013" s="301">
        <v>0.12473986252128398</v>
      </c>
      <c r="D1013" s="2">
        <v>187.272727272727</v>
      </c>
      <c r="E1013" s="2">
        <v>2353</v>
      </c>
      <c r="F1013" s="301">
        <v>0.14013459591447799</v>
      </c>
      <c r="G1013" s="14">
        <v>203.636363636363</v>
      </c>
      <c r="H1013" s="2">
        <v>2399</v>
      </c>
      <c r="I1013" s="301">
        <v>0.13632230935333561</v>
      </c>
      <c r="J1013" s="14">
        <v>218.18182400000001</v>
      </c>
      <c r="K1013" s="301">
        <v>0.21284125379170879</v>
      </c>
      <c r="L1013" s="2">
        <v>3382</v>
      </c>
      <c r="M1013" s="301">
        <v>8.0353536553493782E-2</v>
      </c>
      <c r="N1013" s="2">
        <v>277.575757575757</v>
      </c>
      <c r="O1013" s="2">
        <v>4013</v>
      </c>
      <c r="P1013" s="301">
        <v>9.2981765101137648E-2</v>
      </c>
      <c r="Q1013" s="14">
        <v>224.24242424242399</v>
      </c>
      <c r="R1013" s="2">
        <v>3768</v>
      </c>
      <c r="S1013" s="301">
        <v>8.4714134760223922E-2</v>
      </c>
      <c r="T1013" s="14">
        <v>272.72726399999999</v>
      </c>
      <c r="U1013" s="301">
        <v>0.11413364872856298</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1907</v>
      </c>
      <c r="B1014" s="2">
        <v>1135</v>
      </c>
      <c r="C1014" s="301">
        <v>7.1577221416409154E-2</v>
      </c>
      <c r="D1014" s="2">
        <v>141.81818181818099</v>
      </c>
      <c r="E1014" s="2">
        <v>1621</v>
      </c>
      <c r="F1014" s="301">
        <v>9.6539812995056873E-2</v>
      </c>
      <c r="G1014" s="14">
        <v>186.06060606060601</v>
      </c>
      <c r="H1014" s="2">
        <v>1362</v>
      </c>
      <c r="I1014" s="301">
        <v>7.7395158540743261E-2</v>
      </c>
      <c r="J1014" s="14">
        <v>195.75756799999999</v>
      </c>
      <c r="K1014" s="301">
        <v>0.2</v>
      </c>
      <c r="L1014" s="2">
        <v>2926</v>
      </c>
      <c r="M1014" s="301">
        <v>6.9519351849651925E-2</v>
      </c>
      <c r="N1014" s="2">
        <v>226.666666666666</v>
      </c>
      <c r="O1014" s="2">
        <v>3298</v>
      </c>
      <c r="P1014" s="301">
        <v>7.6415116198243704E-2</v>
      </c>
      <c r="Q1014" s="14">
        <v>232.12121212121201</v>
      </c>
      <c r="R1014" s="2">
        <v>2623</v>
      </c>
      <c r="S1014" s="301">
        <v>5.8971649542480721E-2</v>
      </c>
      <c r="T1014" s="14">
        <v>258.18182400000001</v>
      </c>
      <c r="U1014" s="301">
        <v>-0.10355434039644566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1908</v>
      </c>
      <c r="B1015" s="2">
        <v>528</v>
      </c>
      <c r="C1015" s="301">
        <v>3.3297597275651132E-2</v>
      </c>
      <c r="D1015" s="2">
        <v>102.424242424242</v>
      </c>
      <c r="E1015" s="2">
        <v>328</v>
      </c>
      <c r="F1015" s="301">
        <v>1.9534274313620391E-2</v>
      </c>
      <c r="G1015" s="14">
        <v>80</v>
      </c>
      <c r="H1015" s="2">
        <v>392</v>
      </c>
      <c r="I1015" s="301">
        <v>2.2275258552108195E-2</v>
      </c>
      <c r="J1015" s="14">
        <v>91.515150000000006</v>
      </c>
      <c r="K1015" s="301">
        <v>-0.25757575757575757</v>
      </c>
      <c r="L1015" s="2">
        <v>1292</v>
      </c>
      <c r="M1015" s="301">
        <v>3.0696856660885268E-2</v>
      </c>
      <c r="N1015" s="2">
        <v>181.81818181818099</v>
      </c>
      <c r="O1015" s="2">
        <v>1302</v>
      </c>
      <c r="P1015" s="301">
        <v>3.0167520100094998E-2</v>
      </c>
      <c r="Q1015" s="14">
        <v>175.15151515151501</v>
      </c>
      <c r="R1015" s="2">
        <v>955</v>
      </c>
      <c r="S1015" s="301">
        <v>2.1470806447986691E-2</v>
      </c>
      <c r="T1015" s="14">
        <v>130.909088</v>
      </c>
      <c r="U1015" s="301">
        <v>-0.26083591331269351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1909</v>
      </c>
      <c r="B1016" s="2">
        <v>312</v>
      </c>
      <c r="C1016" s="301">
        <v>1.9675852935612033E-2</v>
      </c>
      <c r="D1016" s="2">
        <v>71.515151515151501</v>
      </c>
      <c r="E1016" s="2">
        <v>504</v>
      </c>
      <c r="F1016" s="301">
        <v>3.0016080042880113E-2</v>
      </c>
      <c r="G1016" s="14">
        <v>92.727272727272705</v>
      </c>
      <c r="H1016" s="2">
        <v>603</v>
      </c>
      <c r="I1016" s="301">
        <v>3.426525741561541E-2</v>
      </c>
      <c r="J1016" s="14">
        <v>142.42424</v>
      </c>
      <c r="K1016" s="301">
        <v>0.93269230769230771</v>
      </c>
      <c r="L1016" s="2">
        <v>625</v>
      </c>
      <c r="M1016" s="301">
        <v>1.4849485613818337E-2</v>
      </c>
      <c r="N1016" s="2">
        <v>103.636363636363</v>
      </c>
      <c r="O1016" s="2">
        <v>957</v>
      </c>
      <c r="P1016" s="301">
        <v>2.2173822377719594E-2</v>
      </c>
      <c r="Q1016" s="14">
        <v>122.424242424242</v>
      </c>
      <c r="R1016" s="2">
        <v>1189</v>
      </c>
      <c r="S1016" s="301">
        <v>2.673171609073945E-2</v>
      </c>
      <c r="T1016" s="14">
        <v>200</v>
      </c>
      <c r="U1016" s="301">
        <v>0.90239999999999998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1910</v>
      </c>
      <c r="B1017" s="2">
        <v>359</v>
      </c>
      <c r="C1017" s="301">
        <v>2.2639843602194613E-2</v>
      </c>
      <c r="D1017" s="2">
        <v>69.090909090909093</v>
      </c>
      <c r="E1017" s="2">
        <v>429</v>
      </c>
      <c r="F1017" s="301">
        <v>2.5549401465070575E-2</v>
      </c>
      <c r="G1017" s="14">
        <v>83.030303030303003</v>
      </c>
      <c r="H1017" s="2">
        <v>453</v>
      </c>
      <c r="I1017" s="301">
        <v>2.5741561541084215E-2</v>
      </c>
      <c r="J1017" s="14">
        <v>106.060608</v>
      </c>
      <c r="K1017" s="301">
        <v>0.2618384401114206</v>
      </c>
      <c r="L1017" s="2">
        <v>710</v>
      </c>
      <c r="M1017" s="301">
        <v>1.6869015657297631E-2</v>
      </c>
      <c r="N1017" s="2">
        <v>111.515151515151</v>
      </c>
      <c r="O1017" s="2">
        <v>1040</v>
      </c>
      <c r="P1017" s="301">
        <v>2.4096943858754837E-2</v>
      </c>
      <c r="Q1017" s="14">
        <v>125.454545454545</v>
      </c>
      <c r="R1017" s="2">
        <v>1118</v>
      </c>
      <c r="S1017" s="301">
        <v>2.5135457182040962E-2</v>
      </c>
      <c r="T1017" s="14">
        <v>144.24243200000001</v>
      </c>
      <c r="U1017" s="301">
        <v>0.57464788732394367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1911</v>
      </c>
      <c r="B1018" s="2">
        <v>213</v>
      </c>
      <c r="C1018" s="301">
        <v>1.3432553446427445E-2</v>
      </c>
      <c r="D1018" s="2">
        <v>54.545454545454497</v>
      </c>
      <c r="E1018" s="2">
        <v>245</v>
      </c>
      <c r="F1018" s="301">
        <v>1.45911500208445E-2</v>
      </c>
      <c r="G1018" s="14">
        <v>61.818181818181799</v>
      </c>
      <c r="H1018" s="2">
        <v>239</v>
      </c>
      <c r="I1018" s="301">
        <v>1.3581088760086374E-2</v>
      </c>
      <c r="J1018" s="14">
        <v>65.454544100000007</v>
      </c>
      <c r="K1018" s="301">
        <v>0.12206572769953052</v>
      </c>
      <c r="L1018" s="2">
        <v>521</v>
      </c>
      <c r="M1018" s="301">
        <v>1.2378531207678966E-2</v>
      </c>
      <c r="N1018" s="2">
        <v>82.424242424242394</v>
      </c>
      <c r="O1018" s="2">
        <v>545</v>
      </c>
      <c r="P1018" s="301">
        <v>1.2627725387520564E-2</v>
      </c>
      <c r="Q1018" s="14">
        <v>90.909090909090907</v>
      </c>
      <c r="R1018" s="2">
        <v>453</v>
      </c>
      <c r="S1018" s="301">
        <v>1.0184581487893163E-2</v>
      </c>
      <c r="T1018" s="14">
        <v>83.636359999999996</v>
      </c>
      <c r="U1018" s="301">
        <v>-0.13051823416506717</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1912</v>
      </c>
      <c r="B1019" s="2">
        <v>176</v>
      </c>
      <c r="C1019" s="301">
        <v>1.1099199091883711E-2</v>
      </c>
      <c r="D1019" s="2">
        <v>51.515151515151501</v>
      </c>
      <c r="E1019" s="2">
        <v>239</v>
      </c>
      <c r="F1019" s="301">
        <v>1.4233815734619737E-2</v>
      </c>
      <c r="G1019" s="14">
        <v>63.636363636363598</v>
      </c>
      <c r="H1019" s="2">
        <v>197</v>
      </c>
      <c r="I1019" s="301">
        <v>1.1194453915217638E-2</v>
      </c>
      <c r="J1019" s="14">
        <v>89.090909999999994</v>
      </c>
      <c r="K1019" s="301">
        <v>0.11931818181818182</v>
      </c>
      <c r="L1019" s="2">
        <v>275</v>
      </c>
      <c r="M1019" s="301">
        <v>6.5337736700800684E-3</v>
      </c>
      <c r="N1019" s="2">
        <v>58.787878787878803</v>
      </c>
      <c r="O1019" s="2">
        <v>378</v>
      </c>
      <c r="P1019" s="301">
        <v>8.7583122871243545E-3</v>
      </c>
      <c r="Q1019" s="14">
        <v>80.606060606060595</v>
      </c>
      <c r="R1019" s="2">
        <v>264</v>
      </c>
      <c r="S1019" s="301">
        <v>5.9353852379774724E-3</v>
      </c>
      <c r="T1019" s="14">
        <v>93.333335899999994</v>
      </c>
      <c r="U1019" s="301">
        <v>-0.04</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1913</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1706</v>
      </c>
      <c r="C1022" s="304"/>
      <c r="D1022" s="304" t="s">
        <v>1707</v>
      </c>
      <c r="E1022" s="304" t="s">
        <v>1706</v>
      </c>
      <c r="F1022" s="304"/>
      <c r="G1022" s="304" t="s">
        <v>1707</v>
      </c>
      <c r="H1022" s="304" t="s">
        <v>1706</v>
      </c>
      <c r="I1022" s="304"/>
      <c r="J1022" s="304" t="s">
        <v>1707</v>
      </c>
      <c r="K1022" t="s">
        <v>172</v>
      </c>
      <c r="L1022" s="304" t="s">
        <v>1706</v>
      </c>
      <c r="M1022" s="304"/>
      <c r="N1022" s="304" t="s">
        <v>1707</v>
      </c>
      <c r="O1022" s="304" t="s">
        <v>1706</v>
      </c>
      <c r="P1022" s="304"/>
      <c r="Q1022" s="304" t="s">
        <v>1707</v>
      </c>
      <c r="R1022" s="304" t="s">
        <v>1706</v>
      </c>
      <c r="S1022" s="304"/>
      <c r="T1022" s="304" t="s">
        <v>1707</v>
      </c>
      <c r="U1022" t="s">
        <v>172</v>
      </c>
      <c r="V1022" s="207" t="s">
        <v>1706</v>
      </c>
      <c r="W1022" s="207"/>
      <c r="X1022" s="207" t="s">
        <v>1707</v>
      </c>
      <c r="Y1022" s="207" t="s">
        <v>1706</v>
      </c>
      <c r="Z1022" s="207"/>
      <c r="AA1022" s="207" t="s">
        <v>1707</v>
      </c>
      <c r="AB1022" s="207" t="s">
        <v>1706</v>
      </c>
      <c r="AC1022" s="207"/>
      <c r="AD1022" s="207" t="s">
        <v>1707</v>
      </c>
      <c r="AE1022" t="s">
        <v>172</v>
      </c>
    </row>
    <row r="1023" spans="1:31" x14ac:dyDescent="0.3">
      <c r="A1023" t="s">
        <v>174</v>
      </c>
      <c r="B1023" s="2">
        <v>15857</v>
      </c>
      <c r="C1023" t="s">
        <v>172</v>
      </c>
      <c r="D1023" s="2">
        <v>297.575757575757</v>
      </c>
      <c r="E1023" s="2">
        <v>16791</v>
      </c>
      <c r="F1023" t="s">
        <v>172</v>
      </c>
      <c r="G1023" s="14">
        <v>318.18181818181802</v>
      </c>
      <c r="H1023" s="2">
        <v>17598</v>
      </c>
      <c r="I1023" t="s">
        <v>172</v>
      </c>
      <c r="J1023" s="14">
        <v>315.75756799999999</v>
      </c>
      <c r="K1023" s="301">
        <v>0.1097937819259633</v>
      </c>
      <c r="L1023" s="2">
        <v>42089</v>
      </c>
      <c r="M1023" t="s">
        <v>172</v>
      </c>
      <c r="N1023" s="2">
        <v>393.33333333333297</v>
      </c>
      <c r="O1023" s="2">
        <v>43159</v>
      </c>
      <c r="P1023" t="s">
        <v>172</v>
      </c>
      <c r="Q1023" s="14">
        <v>457.575757575757</v>
      </c>
      <c r="R1023" s="2">
        <v>44479</v>
      </c>
      <c r="S1023" t="s">
        <v>172</v>
      </c>
      <c r="T1023" s="14">
        <v>306.06060000000002</v>
      </c>
      <c r="U1023" s="301">
        <v>5.6784432987241319E-2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1588</v>
      </c>
      <c r="B1024" s="2">
        <v>8081</v>
      </c>
      <c r="C1024" s="301">
        <v>0.50961720375859243</v>
      </c>
      <c r="D1024" s="2">
        <v>304.84848484848402</v>
      </c>
      <c r="E1024" s="2">
        <v>8016</v>
      </c>
      <c r="F1024" s="301">
        <v>0.47739860639628373</v>
      </c>
      <c r="G1024" s="14">
        <v>314.54545454545399</v>
      </c>
      <c r="H1024" s="2">
        <v>8909</v>
      </c>
      <c r="I1024" s="301">
        <v>0.50625071030798952</v>
      </c>
      <c r="J1024" s="14">
        <v>390.30304000000001</v>
      </c>
      <c r="K1024" s="301">
        <v>0.1024625665140453</v>
      </c>
      <c r="L1024" s="2">
        <v>26535</v>
      </c>
      <c r="M1024" s="301">
        <v>0.6304497612202713</v>
      </c>
      <c r="N1024" s="2">
        <v>493.93939393939399</v>
      </c>
      <c r="O1024" s="2">
        <v>26275</v>
      </c>
      <c r="P1024" s="301">
        <v>0.6087953845084455</v>
      </c>
      <c r="Q1024" s="14">
        <v>477.575757575757</v>
      </c>
      <c r="R1024" s="2">
        <v>29270</v>
      </c>
      <c r="S1024" s="301">
        <v>0.65806335574091146</v>
      </c>
      <c r="T1024" s="14">
        <v>513.33330000000001</v>
      </c>
      <c r="U1024" s="301">
        <v>0.10307141511211608</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1329</v>
      </c>
      <c r="C1025" s="301">
        <v>8.3811565869962787E-2</v>
      </c>
      <c r="D1025" s="2">
        <v>151.51515151515099</v>
      </c>
      <c r="E1025" s="2">
        <v>1341</v>
      </c>
      <c r="F1025" s="301">
        <v>7.9864212971234597E-2</v>
      </c>
      <c r="G1025" s="14">
        <v>164.84848484848399</v>
      </c>
      <c r="H1025" s="2">
        <v>1301</v>
      </c>
      <c r="I1025" s="301">
        <v>7.3928855551767245E-2</v>
      </c>
      <c r="J1025" s="14">
        <v>182.42424</v>
      </c>
      <c r="K1025" s="301">
        <v>-2.1068472535741158E-2</v>
      </c>
      <c r="L1025" s="2">
        <v>4680</v>
      </c>
      <c r="M1025" s="301">
        <v>0.11119294827627171</v>
      </c>
      <c r="N1025" s="2">
        <v>250.90909090909</v>
      </c>
      <c r="O1025" s="2">
        <v>4781</v>
      </c>
      <c r="P1025" s="301">
        <v>0.11077643133529508</v>
      </c>
      <c r="Q1025" s="14">
        <v>316.36363636363598</v>
      </c>
      <c r="R1025" s="2">
        <v>4875</v>
      </c>
      <c r="S1025" s="301">
        <v>0.10960228422401583</v>
      </c>
      <c r="T1025" s="14">
        <v>280</v>
      </c>
      <c r="U1025" s="301">
        <v>4.1666666666666664E-2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2343</v>
      </c>
      <c r="C1026" s="301">
        <v>0.14775808791070189</v>
      </c>
      <c r="D1026" s="2">
        <v>187.87878787878699</v>
      </c>
      <c r="E1026" s="2">
        <v>2236</v>
      </c>
      <c r="F1026" s="301">
        <v>0.13316657733309512</v>
      </c>
      <c r="G1026" s="2">
        <v>183.636363636363</v>
      </c>
      <c r="H1026" s="2">
        <v>2185</v>
      </c>
      <c r="I1026" s="301">
        <v>0.12416183657233777</v>
      </c>
      <c r="J1026" s="14">
        <v>238.78787199999999</v>
      </c>
      <c r="K1026" s="301">
        <v>-6.7434912505335037E-2</v>
      </c>
      <c r="L1026" s="2">
        <v>9689</v>
      </c>
      <c r="M1026" s="301">
        <v>0.23020266577965739</v>
      </c>
      <c r="N1026" s="2">
        <v>341.21212121212102</v>
      </c>
      <c r="O1026" s="2">
        <v>9915</v>
      </c>
      <c r="P1026" s="301">
        <v>0.22973192149957136</v>
      </c>
      <c r="Q1026" s="2">
        <v>315.75757575757501</v>
      </c>
      <c r="R1026" s="2">
        <v>10550</v>
      </c>
      <c r="S1026" s="301">
        <v>0.23719058432069065</v>
      </c>
      <c r="T1026" s="14">
        <v>403.63635299999999</v>
      </c>
      <c r="U1026" s="301">
        <v>8.88636598204149E-2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1415</v>
      </c>
      <c r="C1027" s="301">
        <v>8.9235038153496885E-2</v>
      </c>
      <c r="D1027" s="2">
        <v>170.30303030303</v>
      </c>
      <c r="E1027" s="2">
        <v>1043</v>
      </c>
      <c r="F1027" s="301">
        <v>6.2116610088738013E-2</v>
      </c>
      <c r="G1027" s="14">
        <v>119.39393939393899</v>
      </c>
      <c r="H1027" s="2">
        <v>1715</v>
      </c>
      <c r="I1027" s="301">
        <v>9.7454256165473346E-2</v>
      </c>
      <c r="J1027" s="14">
        <v>247.878784</v>
      </c>
      <c r="K1027" s="301">
        <v>0.21201413427561838</v>
      </c>
      <c r="L1027" s="2">
        <v>4154</v>
      </c>
      <c r="M1027" s="301">
        <v>9.8695621183682192E-2</v>
      </c>
      <c r="N1027" s="2">
        <v>278.18181818181802</v>
      </c>
      <c r="O1027" s="2">
        <v>3491</v>
      </c>
      <c r="P1027" s="301">
        <v>8.0886952895108791E-2</v>
      </c>
      <c r="Q1027" s="14">
        <v>249.69696969696901</v>
      </c>
      <c r="R1027" s="2">
        <v>4186</v>
      </c>
      <c r="S1027" s="301">
        <v>9.4111828053688257E-2</v>
      </c>
      <c r="T1027" s="14">
        <v>309.09089999999998</v>
      </c>
      <c r="U1027" s="301">
        <v>7.7034183919114105E-3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1363</v>
      </c>
      <c r="C1028" s="301">
        <v>8.5955729330894876E-2</v>
      </c>
      <c r="D1028" s="2">
        <v>130.90909090909</v>
      </c>
      <c r="E1028" s="2">
        <v>1448</v>
      </c>
      <c r="F1028" s="301">
        <v>8.6236674408909531E-2</v>
      </c>
      <c r="G1028" s="14">
        <v>146.666666666666</v>
      </c>
      <c r="H1028" s="2">
        <v>1587</v>
      </c>
      <c r="I1028" s="301">
        <v>9.0180702352540068E-2</v>
      </c>
      <c r="J1028" s="14">
        <v>233.939392</v>
      </c>
      <c r="K1028" s="301">
        <v>0.16434336023477622</v>
      </c>
      <c r="L1028" s="2">
        <v>4078</v>
      </c>
      <c r="M1028" s="301">
        <v>9.6889923733041894E-2</v>
      </c>
      <c r="N1028" s="2">
        <v>234.54545454545399</v>
      </c>
      <c r="O1028" s="2">
        <v>3473</v>
      </c>
      <c r="P1028" s="301">
        <v>8.0469890405245714E-2</v>
      </c>
      <c r="Q1028" s="14">
        <v>212.12121212121201</v>
      </c>
      <c r="R1028" s="2">
        <v>4492</v>
      </c>
      <c r="S1028" s="301">
        <v>0.10099147912498033</v>
      </c>
      <c r="T1028" s="14">
        <v>380</v>
      </c>
      <c r="U1028" s="301">
        <v>0.1015203531142717</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742</v>
      </c>
      <c r="C1029" s="301">
        <v>4.6793214353282465E-2</v>
      </c>
      <c r="D1029" s="2">
        <v>99.393939393939405</v>
      </c>
      <c r="E1029" s="2">
        <v>1156</v>
      </c>
      <c r="F1029" s="301">
        <v>6.884640581263772E-2</v>
      </c>
      <c r="G1029" s="14">
        <v>152.72727272727201</v>
      </c>
      <c r="H1029" s="2">
        <v>1055</v>
      </c>
      <c r="I1029" s="301">
        <v>5.994999431753608E-2</v>
      </c>
      <c r="J1029" s="14">
        <v>177.57576</v>
      </c>
      <c r="K1029" s="301">
        <v>0.42183288409703507</v>
      </c>
      <c r="L1029" s="2">
        <v>1760</v>
      </c>
      <c r="M1029" s="301">
        <v>4.1816151488512435E-2</v>
      </c>
      <c r="N1029" s="2">
        <v>161.21212121212099</v>
      </c>
      <c r="O1029" s="2">
        <v>2641</v>
      </c>
      <c r="P1029" s="301">
        <v>6.119233531824185E-2</v>
      </c>
      <c r="Q1029" s="14">
        <v>193.939393939393</v>
      </c>
      <c r="R1029" s="2">
        <v>2583</v>
      </c>
      <c r="S1029" s="301">
        <v>5.8072348748847771E-2</v>
      </c>
      <c r="T1029" s="14">
        <v>275.75756799999999</v>
      </c>
      <c r="U1029" s="301">
        <v>0.46761363636363634</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505</v>
      </c>
      <c r="C1030" s="301">
        <v>3.1847133757961783E-2</v>
      </c>
      <c r="D1030" s="2">
        <v>88.484848484848399</v>
      </c>
      <c r="E1030" s="2">
        <v>548</v>
      </c>
      <c r="F1030" s="301">
        <v>3.2636531475195046E-2</v>
      </c>
      <c r="G1030" s="14">
        <v>110.30303030303</v>
      </c>
      <c r="H1030" s="2">
        <v>534</v>
      </c>
      <c r="I1030" s="301">
        <v>3.0344357313331061E-2</v>
      </c>
      <c r="J1030" s="14">
        <v>130.30302399999999</v>
      </c>
      <c r="K1030" s="301">
        <v>5.7425742574257428E-2</v>
      </c>
      <c r="L1030" s="2">
        <v>1372</v>
      </c>
      <c r="M1030" s="301">
        <v>3.2597590819454014E-2</v>
      </c>
      <c r="N1030" s="2">
        <v>166.666666666666</v>
      </c>
      <c r="O1030" s="2">
        <v>1115</v>
      </c>
      <c r="P1030" s="301">
        <v>2.5834704233184271E-2</v>
      </c>
      <c r="Q1030" s="14">
        <v>146.666666666666</v>
      </c>
      <c r="R1030" s="2">
        <v>1126</v>
      </c>
      <c r="S1030" s="301">
        <v>2.5315317340767553E-2</v>
      </c>
      <c r="T1030" s="14">
        <v>156.96969999999999</v>
      </c>
      <c r="U1030" s="301">
        <v>-0.17930029154518951</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384</v>
      </c>
      <c r="C1031" s="301">
        <v>2.4216434382291731E-2</v>
      </c>
      <c r="D1031" s="2">
        <v>91.515151515151501</v>
      </c>
      <c r="E1031" s="2">
        <v>244</v>
      </c>
      <c r="F1031" s="301">
        <v>1.4531594306473706E-2</v>
      </c>
      <c r="G1031" s="14">
        <v>53.3333333333333</v>
      </c>
      <c r="H1031" s="2">
        <v>532</v>
      </c>
      <c r="I1031" s="301">
        <v>3.0230708035003977E-2</v>
      </c>
      <c r="J1031" s="14">
        <v>113.333336</v>
      </c>
      <c r="K1031" s="301">
        <v>0.38541666666666669</v>
      </c>
      <c r="L1031" s="2">
        <v>802</v>
      </c>
      <c r="M1031" s="301">
        <v>1.905485993965169E-2</v>
      </c>
      <c r="N1031" s="2">
        <v>135.75757575757501</v>
      </c>
      <c r="O1031" s="2">
        <v>859</v>
      </c>
      <c r="P1031" s="301">
        <v>1.9903148821798465E-2</v>
      </c>
      <c r="Q1031" s="14">
        <v>116.969696969697</v>
      </c>
      <c r="R1031" s="2">
        <v>1458</v>
      </c>
      <c r="S1031" s="301">
        <v>3.2779513927921042E-2</v>
      </c>
      <c r="T1031" s="14">
        <v>180</v>
      </c>
      <c r="U1031" s="301">
        <v>0.81795511221945139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1591</v>
      </c>
      <c r="B1032" s="2">
        <v>7776</v>
      </c>
      <c r="C1032" s="301">
        <v>0.49038279624140757</v>
      </c>
      <c r="D1032" s="2">
        <v>295.15151515151501</v>
      </c>
      <c r="E1032" s="2">
        <v>8775</v>
      </c>
      <c r="F1032" s="301">
        <v>0.52260139360371627</v>
      </c>
      <c r="G1032" s="14">
        <v>323.030303030303</v>
      </c>
      <c r="H1032" s="2">
        <v>8689</v>
      </c>
      <c r="I1032" s="301">
        <v>0.49374928969201043</v>
      </c>
      <c r="J1032" s="14">
        <v>351.51513699999998</v>
      </c>
      <c r="K1032" s="301">
        <v>0.11741255144032922</v>
      </c>
      <c r="L1032" s="2">
        <v>15554</v>
      </c>
      <c r="M1032" s="301">
        <v>0.36955023877972865</v>
      </c>
      <c r="N1032" s="2">
        <v>477.575757575757</v>
      </c>
      <c r="O1032" s="2">
        <v>16884</v>
      </c>
      <c r="P1032" s="301">
        <v>0.3912046154915545</v>
      </c>
      <c r="Q1032" s="14">
        <v>432.12121212121201</v>
      </c>
      <c r="R1032" s="2">
        <v>15209</v>
      </c>
      <c r="S1032" s="301">
        <v>0.34193664425908854</v>
      </c>
      <c r="T1032" s="14">
        <v>513.93939999999998</v>
      </c>
      <c r="U1032" s="301">
        <v>-2.218078950752218E-2</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1485</v>
      </c>
      <c r="C1033" s="301">
        <v>9.3649492337768814E-2</v>
      </c>
      <c r="D1033" s="2">
        <v>181.81818181818099</v>
      </c>
      <c r="E1033" s="2">
        <v>1681</v>
      </c>
      <c r="F1033" s="301">
        <v>0.10011315585730451</v>
      </c>
      <c r="G1033" s="14">
        <v>221.81818181818099</v>
      </c>
      <c r="H1033" s="2">
        <v>1193</v>
      </c>
      <c r="I1033" s="301">
        <v>6.7791794522104779E-2</v>
      </c>
      <c r="J1033" s="14">
        <v>138.18182400000001</v>
      </c>
      <c r="K1033" s="301">
        <v>-0.19663299663299663</v>
      </c>
      <c r="L1033" s="2">
        <v>3235</v>
      </c>
      <c r="M1033" s="301">
        <v>7.6860937537123711E-2</v>
      </c>
      <c r="N1033" s="2">
        <v>236.969696969697</v>
      </c>
      <c r="O1033" s="2">
        <v>3656</v>
      </c>
      <c r="P1033" s="301">
        <v>8.471002571885354E-2</v>
      </c>
      <c r="Q1033" s="14">
        <v>276.969696969697</v>
      </c>
      <c r="R1033" s="2">
        <v>2513</v>
      </c>
      <c r="S1033" s="301">
        <v>5.6498572359990111E-2</v>
      </c>
      <c r="T1033" s="14">
        <v>213.33332799999999</v>
      </c>
      <c r="U1033" s="301">
        <v>-0.22318392581143739</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955</v>
      </c>
      <c r="C1034" s="301">
        <v>6.0225767799709909E-2</v>
      </c>
      <c r="D1034" s="2">
        <v>134.54545454545399</v>
      </c>
      <c r="E1034" s="2">
        <v>1240</v>
      </c>
      <c r="F1034" s="301">
        <v>7.3849085819784402E-2</v>
      </c>
      <c r="G1034" s="14">
        <v>143.636363636363</v>
      </c>
      <c r="H1034" s="2">
        <v>1498</v>
      </c>
      <c r="I1034" s="301">
        <v>8.5123309466984889E-2</v>
      </c>
      <c r="J1034" s="14">
        <v>272.72726399999999</v>
      </c>
      <c r="K1034" s="301">
        <v>0.56858638743455492</v>
      </c>
      <c r="L1034" s="2">
        <v>2760</v>
      </c>
      <c r="M1034" s="301">
        <v>6.557532847062178E-2</v>
      </c>
      <c r="N1034" s="2">
        <v>235.15151515151501</v>
      </c>
      <c r="O1034" s="2">
        <v>2964</v>
      </c>
      <c r="P1034" s="301">
        <v>6.867628999745129E-2</v>
      </c>
      <c r="Q1034" s="14">
        <v>227.87878787878699</v>
      </c>
      <c r="R1034" s="2">
        <v>2889</v>
      </c>
      <c r="S1034" s="301">
        <v>6.4951999820139841E-2</v>
      </c>
      <c r="T1034" s="14">
        <v>321.21212800000001</v>
      </c>
      <c r="U1034" s="301">
        <v>4.6739130434782609E-2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1327</v>
      </c>
      <c r="C1035" s="301">
        <v>8.3685438607555021E-2</v>
      </c>
      <c r="D1035" s="2">
        <v>174.54545454545399</v>
      </c>
      <c r="E1035" s="2">
        <v>1387</v>
      </c>
      <c r="F1035" s="301">
        <v>8.2603775832291101E-2</v>
      </c>
      <c r="G1035" s="14">
        <v>167.87878787878699</v>
      </c>
      <c r="H1035" s="2">
        <v>1503</v>
      </c>
      <c r="I1035" s="301">
        <v>8.5407432662802596E-2</v>
      </c>
      <c r="J1035" s="14">
        <v>264.84848</v>
      </c>
      <c r="K1035" s="301">
        <v>0.13262999246420498</v>
      </c>
      <c r="L1035" s="2">
        <v>2476</v>
      </c>
      <c r="M1035" s="301">
        <v>5.8827722207702722E-2</v>
      </c>
      <c r="N1035" s="2">
        <v>229.69696969696901</v>
      </c>
      <c r="O1035" s="2">
        <v>2675</v>
      </c>
      <c r="P1035" s="301">
        <v>6.1980120021316525E-2</v>
      </c>
      <c r="Q1035" s="14">
        <v>207.272727272727</v>
      </c>
      <c r="R1035" s="2">
        <v>2447</v>
      </c>
      <c r="S1035" s="301">
        <v>5.5014726050495739E-2</v>
      </c>
      <c r="T1035" s="14">
        <v>328.48486300000002</v>
      </c>
      <c r="U1035" s="301">
        <v>-1.1712439418416801E-2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1536</v>
      </c>
      <c r="C1036" s="301">
        <v>9.6865737529166926E-2</v>
      </c>
      <c r="D1036" s="2">
        <v>174.54545454545399</v>
      </c>
      <c r="E1036" s="2">
        <v>2032</v>
      </c>
      <c r="F1036" s="301">
        <v>0.12101721160145316</v>
      </c>
      <c r="G1036" s="14">
        <v>209.09090909090901</v>
      </c>
      <c r="H1036" s="2">
        <v>1548</v>
      </c>
      <c r="I1036" s="301">
        <v>8.7964541425161955E-2</v>
      </c>
      <c r="J1036" s="14">
        <v>192.121216</v>
      </c>
      <c r="K1036" s="301">
        <v>7.8125E-3</v>
      </c>
      <c r="L1036" s="2">
        <v>2878</v>
      </c>
      <c r="M1036" s="301">
        <v>6.8378911354510685E-2</v>
      </c>
      <c r="N1036" s="2">
        <v>238.78787878787799</v>
      </c>
      <c r="O1036" s="2">
        <v>3221</v>
      </c>
      <c r="P1036" s="301">
        <v>7.463101554716281E-2</v>
      </c>
      <c r="Q1036" s="14">
        <v>232.72727272727201</v>
      </c>
      <c r="R1036" s="2">
        <v>2671</v>
      </c>
      <c r="S1036" s="301">
        <v>6.0050810494840262E-2</v>
      </c>
      <c r="T1036" s="14">
        <v>272.72726399999999</v>
      </c>
      <c r="U1036" s="301">
        <v>-7.1924947880472545E-2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1261</v>
      </c>
      <c r="C1037" s="301">
        <v>7.9523238948098637E-2</v>
      </c>
      <c r="D1037" s="2">
        <v>182.42424242424201</v>
      </c>
      <c r="E1037" s="2">
        <v>1235</v>
      </c>
      <c r="F1037" s="301">
        <v>7.3551307247930436E-2</v>
      </c>
      <c r="G1037" s="14">
        <v>160</v>
      </c>
      <c r="H1037" s="2">
        <v>1266</v>
      </c>
      <c r="I1037" s="301">
        <v>7.1939993181043299E-2</v>
      </c>
      <c r="J1037" s="14">
        <v>199.393936</v>
      </c>
      <c r="K1037" s="301">
        <v>3.9651070578905628E-3</v>
      </c>
      <c r="L1037" s="2">
        <v>2158</v>
      </c>
      <c r="M1037" s="301">
        <v>5.1272303927391953E-2</v>
      </c>
      <c r="N1037" s="2">
        <v>230.30303030303</v>
      </c>
      <c r="O1037" s="2">
        <v>2270</v>
      </c>
      <c r="P1037" s="301">
        <v>5.2596213999397574E-2</v>
      </c>
      <c r="Q1037" s="14">
        <v>209.09090909090901</v>
      </c>
      <c r="R1037" s="2">
        <v>2176</v>
      </c>
      <c r="S1037" s="301">
        <v>4.8921963173632503E-2</v>
      </c>
      <c r="T1037" s="14">
        <v>253.33332799999999</v>
      </c>
      <c r="U1037" s="301">
        <v>8.3410565338276187E-3</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522</v>
      </c>
      <c r="C1038" s="301">
        <v>3.2919215488427821E-2</v>
      </c>
      <c r="D1038" s="2">
        <v>101.818181818181</v>
      </c>
      <c r="E1038" s="2">
        <v>702</v>
      </c>
      <c r="F1038" s="301">
        <v>4.18081114882973E-2</v>
      </c>
      <c r="G1038" s="14">
        <v>111.515151515151</v>
      </c>
      <c r="H1038" s="2">
        <v>1033</v>
      </c>
      <c r="I1038" s="301">
        <v>5.8699852255938177E-2</v>
      </c>
      <c r="J1038" s="14">
        <v>180.606064</v>
      </c>
      <c r="K1038" s="301">
        <v>0.97892720306513414</v>
      </c>
      <c r="L1038" s="2">
        <v>874</v>
      </c>
      <c r="M1038" s="301">
        <v>2.0765520682363564E-2</v>
      </c>
      <c r="N1038" s="2">
        <v>126.06060606060601</v>
      </c>
      <c r="O1038" s="2">
        <v>1273</v>
      </c>
      <c r="P1038" s="301">
        <v>2.949558608864895E-2</v>
      </c>
      <c r="Q1038" s="14">
        <v>154.54545454545399</v>
      </c>
      <c r="R1038" s="2">
        <v>1510</v>
      </c>
      <c r="S1038" s="301">
        <v>3.3948604959643879E-2</v>
      </c>
      <c r="T1038" s="14">
        <v>221.21212800000001</v>
      </c>
      <c r="U1038" s="301">
        <v>0.72768878718535468</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690</v>
      </c>
      <c r="C1039" s="301">
        <v>4.3513905530680456E-2</v>
      </c>
      <c r="D1039" s="2">
        <v>97.575757575757606</v>
      </c>
      <c r="E1039" s="2">
        <v>498</v>
      </c>
      <c r="F1039" s="301">
        <v>2.965874575665535E-2</v>
      </c>
      <c r="G1039" s="14">
        <v>103.636363636363</v>
      </c>
      <c r="H1039" s="2">
        <v>648</v>
      </c>
      <c r="I1039" s="301">
        <v>3.6822366177974769E-2</v>
      </c>
      <c r="J1039" s="14">
        <v>132.121216</v>
      </c>
      <c r="K1039" s="301">
        <v>-6.0869565217391307E-2</v>
      </c>
      <c r="L1039" s="2">
        <v>1173</v>
      </c>
      <c r="M1039" s="301">
        <v>2.7869514600014255E-2</v>
      </c>
      <c r="N1039" s="2">
        <v>130.90909090909</v>
      </c>
      <c r="O1039" s="2">
        <v>825</v>
      </c>
      <c r="P1039" s="301">
        <v>1.911536411872379E-2</v>
      </c>
      <c r="Q1039" s="14">
        <v>149.69696969696901</v>
      </c>
      <c r="R1039" s="2">
        <v>1003</v>
      </c>
      <c r="S1039" s="301">
        <v>2.2549967400346232E-2</v>
      </c>
      <c r="T1039" s="14">
        <v>154.545456</v>
      </c>
      <c r="U1039" s="301">
        <v>-0.14492753623188406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1914</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1706</v>
      </c>
      <c r="C1042" s="304"/>
      <c r="D1042" s="304" t="s">
        <v>1707</v>
      </c>
      <c r="E1042" s="304" t="s">
        <v>1706</v>
      </c>
      <c r="F1042" s="304"/>
      <c r="G1042" s="304" t="s">
        <v>1707</v>
      </c>
      <c r="H1042" s="304" t="s">
        <v>1706</v>
      </c>
      <c r="I1042" s="304"/>
      <c r="J1042" s="304" t="s">
        <v>1707</v>
      </c>
      <c r="K1042" t="s">
        <v>172</v>
      </c>
      <c r="L1042" s="304" t="s">
        <v>1706</v>
      </c>
      <c r="M1042" s="304"/>
      <c r="N1042" s="304" t="s">
        <v>1707</v>
      </c>
      <c r="O1042" s="304" t="s">
        <v>1706</v>
      </c>
      <c r="P1042" s="304"/>
      <c r="Q1042" s="304" t="s">
        <v>1707</v>
      </c>
      <c r="R1042" s="304" t="s">
        <v>1706</v>
      </c>
      <c r="S1042" s="304"/>
      <c r="T1042" s="304" t="s">
        <v>1707</v>
      </c>
      <c r="U1042" t="s">
        <v>172</v>
      </c>
      <c r="V1042" s="207" t="s">
        <v>1706</v>
      </c>
      <c r="W1042" s="207"/>
      <c r="X1042" s="207" t="s">
        <v>1707</v>
      </c>
      <c r="Y1042" s="207" t="s">
        <v>1706</v>
      </c>
      <c r="Z1042" s="207"/>
      <c r="AA1042" s="207" t="s">
        <v>1707</v>
      </c>
      <c r="AB1042" s="207" t="s">
        <v>1706</v>
      </c>
      <c r="AC1042" s="207"/>
      <c r="AD1042" s="207" t="s">
        <v>1707</v>
      </c>
      <c r="AE1042" t="s">
        <v>172</v>
      </c>
    </row>
    <row r="1043" spans="1:31" x14ac:dyDescent="0.3">
      <c r="A1043" t="s">
        <v>1915</v>
      </c>
      <c r="B1043" s="14">
        <v>3.7</v>
      </c>
      <c r="C1043" t="s">
        <v>172</v>
      </c>
      <c r="D1043" s="14">
        <v>6.6666666666660004E-2</v>
      </c>
      <c r="E1043" s="14">
        <v>3.73</v>
      </c>
      <c r="F1043" t="s">
        <v>172</v>
      </c>
      <c r="G1043" s="14">
        <v>7.2727272727270004E-2</v>
      </c>
      <c r="H1043" s="14">
        <v>3.68</v>
      </c>
      <c r="I1043" t="s">
        <v>172</v>
      </c>
      <c r="J1043" s="14">
        <v>6.6666669999999997E-2</v>
      </c>
      <c r="K1043" s="301">
        <v>-5.40540540540541E-3</v>
      </c>
      <c r="L1043" s="14">
        <v>3.3</v>
      </c>
      <c r="M1043" t="s">
        <v>172</v>
      </c>
      <c r="N1043" s="14">
        <v>3.0303030303029999E-2</v>
      </c>
      <c r="O1043" s="14">
        <v>3.35</v>
      </c>
      <c r="P1043" t="s">
        <v>172</v>
      </c>
      <c r="Q1043" s="14">
        <v>3.6363636363629999E-2</v>
      </c>
      <c r="R1043" s="14">
        <v>3.32</v>
      </c>
      <c r="S1043" t="s">
        <v>172</v>
      </c>
      <c r="T1043" s="14">
        <v>2.4242423499999999E-2</v>
      </c>
      <c r="U1043" s="301">
        <v>6.0606060606060667E-3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1916</v>
      </c>
      <c r="B1044" s="14">
        <v>3.37</v>
      </c>
      <c r="C1044" t="s">
        <v>172</v>
      </c>
      <c r="D1044" s="14">
        <v>9.6969696969690003E-2</v>
      </c>
      <c r="E1044" s="14">
        <v>3.52</v>
      </c>
      <c r="F1044" t="s">
        <v>172</v>
      </c>
      <c r="G1044" s="14">
        <v>9.6969696969690003E-2</v>
      </c>
      <c r="H1044" s="14">
        <v>3.5</v>
      </c>
      <c r="I1044" t="s">
        <v>172</v>
      </c>
      <c r="J1044" s="14">
        <v>9.6969693900000001E-2</v>
      </c>
      <c r="K1044" s="301">
        <v>3.8575667655786315E-2</v>
      </c>
      <c r="L1044" s="14">
        <v>3.07</v>
      </c>
      <c r="M1044" t="s">
        <v>172</v>
      </c>
      <c r="N1044" s="14">
        <v>4.2424242424239998E-2</v>
      </c>
      <c r="O1044" s="14">
        <v>3.13</v>
      </c>
      <c r="P1044" t="s">
        <v>172</v>
      </c>
      <c r="Q1044" s="14">
        <v>4.2424242424239998E-2</v>
      </c>
      <c r="R1044" s="14">
        <v>3.13</v>
      </c>
      <c r="S1044" t="s">
        <v>172</v>
      </c>
      <c r="T1044" s="14">
        <v>3.6363635200000001E-2</v>
      </c>
      <c r="U1044" s="301">
        <v>1.9543973941368097E-2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1917</v>
      </c>
      <c r="B1045" s="14">
        <v>4.05</v>
      </c>
      <c r="C1045" t="s">
        <v>172</v>
      </c>
      <c r="D1045" s="14">
        <v>0.12727272727271999</v>
      </c>
      <c r="E1045" s="14">
        <v>3.92</v>
      </c>
      <c r="F1045" t="s">
        <v>172</v>
      </c>
      <c r="G1045" s="14">
        <v>0.1090909090909</v>
      </c>
      <c r="H1045" s="14">
        <v>3.86</v>
      </c>
      <c r="I1045" t="s">
        <v>172</v>
      </c>
      <c r="J1045" s="14">
        <v>0.121212125</v>
      </c>
      <c r="K1045" s="301">
        <v>-4.6913580246913569E-2</v>
      </c>
      <c r="L1045" s="14">
        <v>3.69</v>
      </c>
      <c r="M1045" t="s">
        <v>172</v>
      </c>
      <c r="N1045" s="14">
        <v>7.2727272727270004E-2</v>
      </c>
      <c r="O1045" s="14">
        <v>3.69</v>
      </c>
      <c r="P1045" t="s">
        <v>172</v>
      </c>
      <c r="Q1045" s="14">
        <v>7.2727272727270004E-2</v>
      </c>
      <c r="R1045" s="14">
        <v>3.69</v>
      </c>
      <c r="S1045" t="s">
        <v>172</v>
      </c>
      <c r="T1045" s="14">
        <v>7.2727269999999997E-2</v>
      </c>
      <c r="U1045" s="301">
        <v>0</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1918</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1706</v>
      </c>
      <c r="C1048" s="304"/>
      <c r="D1048" s="304" t="s">
        <v>1707</v>
      </c>
      <c r="E1048" s="304" t="s">
        <v>1706</v>
      </c>
      <c r="F1048" s="304"/>
      <c r="G1048" s="304" t="s">
        <v>1707</v>
      </c>
      <c r="H1048" s="304" t="s">
        <v>1706</v>
      </c>
      <c r="I1048" s="304"/>
      <c r="J1048" s="304" t="s">
        <v>1707</v>
      </c>
      <c r="K1048" t="s">
        <v>172</v>
      </c>
      <c r="L1048" s="304" t="s">
        <v>1706</v>
      </c>
      <c r="M1048" s="304"/>
      <c r="N1048" s="304" t="s">
        <v>1707</v>
      </c>
      <c r="O1048" s="304" t="s">
        <v>1706</v>
      </c>
      <c r="P1048" s="304"/>
      <c r="Q1048" s="304" t="s">
        <v>1707</v>
      </c>
      <c r="R1048" s="304" t="s">
        <v>1706</v>
      </c>
      <c r="S1048" s="304"/>
      <c r="T1048" s="304" t="s">
        <v>1707</v>
      </c>
      <c r="U1048" t="s">
        <v>172</v>
      </c>
      <c r="V1048" s="207" t="s">
        <v>1706</v>
      </c>
      <c r="W1048" s="207"/>
      <c r="X1048" s="207" t="s">
        <v>1707</v>
      </c>
      <c r="Y1048" s="207" t="s">
        <v>1706</v>
      </c>
      <c r="Z1048" s="207"/>
      <c r="AA1048" s="207" t="s">
        <v>1707</v>
      </c>
      <c r="AB1048" s="207" t="s">
        <v>1706</v>
      </c>
      <c r="AC1048" s="207"/>
      <c r="AD1048" s="207" t="s">
        <v>1707</v>
      </c>
      <c r="AE1048" t="s">
        <v>172</v>
      </c>
    </row>
    <row r="1049" spans="1:31" x14ac:dyDescent="0.3">
      <c r="A1049" t="s">
        <v>174</v>
      </c>
      <c r="B1049" s="2">
        <v>15857</v>
      </c>
      <c r="C1049" t="s">
        <v>172</v>
      </c>
      <c r="D1049" s="2">
        <v>297.575757575757</v>
      </c>
      <c r="E1049" s="2">
        <v>16791</v>
      </c>
      <c r="F1049" t="s">
        <v>172</v>
      </c>
      <c r="G1049" s="14">
        <v>318.18181818181802</v>
      </c>
      <c r="H1049" s="2">
        <v>17598</v>
      </c>
      <c r="I1049" t="s">
        <v>172</v>
      </c>
      <c r="J1049" s="14">
        <v>315.75756799999999</v>
      </c>
      <c r="K1049" s="301">
        <v>0.1097937819259633</v>
      </c>
      <c r="L1049" s="2">
        <v>42089</v>
      </c>
      <c r="M1049" t="s">
        <v>172</v>
      </c>
      <c r="N1049" s="2">
        <v>393.33333333333297</v>
      </c>
      <c r="O1049" s="2">
        <v>43159</v>
      </c>
      <c r="P1049" t="s">
        <v>172</v>
      </c>
      <c r="Q1049" s="14">
        <v>457.575757575757</v>
      </c>
      <c r="R1049" s="2">
        <v>44479</v>
      </c>
      <c r="S1049" t="s">
        <v>172</v>
      </c>
      <c r="T1049" s="14">
        <v>306.06060000000002</v>
      </c>
      <c r="U1049" s="301">
        <v>5.6784432987241319E-2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1588</v>
      </c>
      <c r="B1050" s="2">
        <v>8081</v>
      </c>
      <c r="C1050" s="301">
        <v>0.50961720375859243</v>
      </c>
      <c r="D1050" s="2">
        <v>304.84848484848402</v>
      </c>
      <c r="E1050" s="2">
        <v>8016</v>
      </c>
      <c r="F1050" s="301">
        <v>0.47739860639628373</v>
      </c>
      <c r="G1050" s="14">
        <v>314.54545454545399</v>
      </c>
      <c r="H1050" s="2">
        <v>8909</v>
      </c>
      <c r="I1050" s="301">
        <v>0.50625071030798952</v>
      </c>
      <c r="J1050" s="14">
        <v>390.30304000000001</v>
      </c>
      <c r="K1050" s="301">
        <v>0.1024625665140453</v>
      </c>
      <c r="L1050" s="2">
        <v>26535</v>
      </c>
      <c r="M1050" s="301">
        <v>0.6304497612202713</v>
      </c>
      <c r="N1050" s="2">
        <v>493.93939393939399</v>
      </c>
      <c r="O1050" s="2">
        <v>26275</v>
      </c>
      <c r="P1050" s="301">
        <v>0.6087953845084455</v>
      </c>
      <c r="Q1050" s="14">
        <v>477.575757575757</v>
      </c>
      <c r="R1050" s="2">
        <v>29270</v>
      </c>
      <c r="S1050" s="301">
        <v>0.65806335574091146</v>
      </c>
      <c r="T1050" s="14">
        <v>513.33330000000001</v>
      </c>
      <c r="U1050" s="301">
        <v>0.10307141511211608</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1919</v>
      </c>
      <c r="B1051" s="2">
        <v>4508</v>
      </c>
      <c r="C1051" s="301">
        <v>0.28429084946711231</v>
      </c>
      <c r="D1051" s="2">
        <v>267.87878787878702</v>
      </c>
      <c r="E1051" s="2">
        <v>4132</v>
      </c>
      <c r="F1051" s="301">
        <v>0.2460842117801203</v>
      </c>
      <c r="G1051" s="14">
        <v>234.54545454545399</v>
      </c>
      <c r="H1051" s="2">
        <v>4680</v>
      </c>
      <c r="I1051" s="301">
        <v>0.26593931128537335</v>
      </c>
      <c r="J1051" s="14">
        <v>346.06060000000002</v>
      </c>
      <c r="K1051" s="301">
        <v>3.8154392191659274E-2</v>
      </c>
      <c r="L1051" s="2">
        <v>17274</v>
      </c>
      <c r="M1051" s="301">
        <v>0.41041602318895676</v>
      </c>
      <c r="N1051" s="2">
        <v>426.06060606060601</v>
      </c>
      <c r="O1051" s="2">
        <v>17035</v>
      </c>
      <c r="P1051" s="301">
        <v>0.39470330637873907</v>
      </c>
      <c r="Q1051" s="14">
        <v>373.33333333333297</v>
      </c>
      <c r="R1051" s="2">
        <v>18289</v>
      </c>
      <c r="S1051" s="301">
        <v>0.41118280536882573</v>
      </c>
      <c r="T1051" s="14">
        <v>435.75756799999999</v>
      </c>
      <c r="U1051" s="301">
        <v>5.8758828296862339E-2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1920</v>
      </c>
      <c r="B1052" s="2">
        <v>3000</v>
      </c>
      <c r="C1052" s="301">
        <v>0.18919089361165417</v>
      </c>
      <c r="D1052" s="2">
        <v>190.30303030303</v>
      </c>
      <c r="E1052" s="2">
        <v>3240</v>
      </c>
      <c r="F1052" s="301">
        <v>0.19296051456137217</v>
      </c>
      <c r="G1052" s="14">
        <v>220.60606060606</v>
      </c>
      <c r="H1052" s="2">
        <v>3623</v>
      </c>
      <c r="I1052" s="301">
        <v>0.20587566768951018</v>
      </c>
      <c r="J1052" s="14">
        <v>291.51513699999998</v>
      </c>
      <c r="K1052" s="301">
        <v>0.20766666666666667</v>
      </c>
      <c r="L1052" s="2">
        <v>7869</v>
      </c>
      <c r="M1052" s="301">
        <v>0.1869609636722184</v>
      </c>
      <c r="N1052" s="2">
        <v>299.39393939393898</v>
      </c>
      <c r="O1052" s="2">
        <v>7793</v>
      </c>
      <c r="P1052" s="301">
        <v>0.18056488797238118</v>
      </c>
      <c r="Q1052" s="14">
        <v>360.60606060606</v>
      </c>
      <c r="R1052" s="2">
        <v>9309</v>
      </c>
      <c r="S1052" s="301">
        <v>0.20928977719822839</v>
      </c>
      <c r="T1052" s="14">
        <v>383.03030000000001</v>
      </c>
      <c r="U1052" s="301">
        <v>0.18299656881433474</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1921</v>
      </c>
      <c r="B1053" s="2">
        <v>398</v>
      </c>
      <c r="C1053" s="301">
        <v>2.509932521914612E-2</v>
      </c>
      <c r="D1053" s="2">
        <v>90.303030303030297</v>
      </c>
      <c r="E1053" s="2">
        <v>533</v>
      </c>
      <c r="F1053" s="301">
        <v>3.1743195759633136E-2</v>
      </c>
      <c r="G1053" s="14">
        <v>95.757575757575694</v>
      </c>
      <c r="H1053" s="2">
        <v>447</v>
      </c>
      <c r="I1053" s="301">
        <v>2.5400613706102967E-2</v>
      </c>
      <c r="J1053" s="14">
        <v>115.151512</v>
      </c>
      <c r="K1053" s="301">
        <v>0.12311557788944724</v>
      </c>
      <c r="L1053" s="2">
        <v>920</v>
      </c>
      <c r="M1053" s="301">
        <v>2.1858442823540592E-2</v>
      </c>
      <c r="N1053" s="2">
        <v>145.45454545454501</v>
      </c>
      <c r="O1053" s="2">
        <v>1034</v>
      </c>
      <c r="P1053" s="301">
        <v>2.3957923028800482E-2</v>
      </c>
      <c r="Q1053" s="14">
        <v>133.333333333333</v>
      </c>
      <c r="R1053" s="2">
        <v>1199</v>
      </c>
      <c r="S1053" s="301">
        <v>2.6956541289147689E-2</v>
      </c>
      <c r="T1053" s="14">
        <v>181.21212800000001</v>
      </c>
      <c r="U1053" s="301">
        <v>0.30326086956521742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1922</v>
      </c>
      <c r="B1054" s="2">
        <v>173</v>
      </c>
      <c r="C1054" s="301">
        <v>1.0910008198272057E-2</v>
      </c>
      <c r="D1054" s="2">
        <v>63.636363636363598</v>
      </c>
      <c r="E1054" s="2">
        <v>55</v>
      </c>
      <c r="F1054" s="301">
        <v>3.2755642903936634E-3</v>
      </c>
      <c r="G1054" s="14">
        <v>25.4545454545454</v>
      </c>
      <c r="H1054" s="2">
        <v>130</v>
      </c>
      <c r="I1054" s="301">
        <v>7.3872030912603701E-3</v>
      </c>
      <c r="J1054" s="14">
        <v>56.969695999999999</v>
      </c>
      <c r="K1054" s="301">
        <v>-0.24855491329479767</v>
      </c>
      <c r="L1054" s="2">
        <v>456</v>
      </c>
      <c r="M1054" s="301">
        <v>1.0834184703841858E-2</v>
      </c>
      <c r="N1054" s="2">
        <v>106.666666666666</v>
      </c>
      <c r="O1054" s="2">
        <v>318</v>
      </c>
      <c r="P1054" s="301">
        <v>7.3681039875808062E-3</v>
      </c>
      <c r="Q1054" s="14">
        <v>95.757575757575694</v>
      </c>
      <c r="R1054" s="2">
        <v>405</v>
      </c>
      <c r="S1054" s="301">
        <v>9.1054205355336221E-3</v>
      </c>
      <c r="T1054" s="14">
        <v>94.545455899999993</v>
      </c>
      <c r="U1054" s="301">
        <v>-0.1118421052631579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1923</v>
      </c>
      <c r="B1055" s="2">
        <v>2</v>
      </c>
      <c r="C1055" s="301">
        <v>1.2612726240776944E-4</v>
      </c>
      <c r="D1055" s="2">
        <v>6.6666666666666599</v>
      </c>
      <c r="E1055" s="2">
        <v>56</v>
      </c>
      <c r="F1055" s="301">
        <v>3.3351200047644571E-3</v>
      </c>
      <c r="G1055" s="14">
        <v>28.484848484848399</v>
      </c>
      <c r="H1055" s="2">
        <v>29</v>
      </c>
      <c r="I1055" s="301">
        <v>1.6479145357426981E-3</v>
      </c>
      <c r="J1055" s="14">
        <v>20</v>
      </c>
      <c r="K1055" s="301">
        <v>13.5</v>
      </c>
      <c r="L1055" s="2">
        <v>16</v>
      </c>
      <c r="M1055" s="301">
        <v>3.8014683171374946E-4</v>
      </c>
      <c r="N1055" s="2">
        <v>15.151515151515101</v>
      </c>
      <c r="O1055" s="2">
        <v>95</v>
      </c>
      <c r="P1055" s="301">
        <v>2.2011631409439513E-3</v>
      </c>
      <c r="Q1055" s="14">
        <v>35.151515151515099</v>
      </c>
      <c r="R1055" s="2">
        <v>68</v>
      </c>
      <c r="S1055" s="301">
        <v>1.5288113491760157E-3</v>
      </c>
      <c r="T1055" s="14">
        <v>26.666665999999999</v>
      </c>
      <c r="U1055" s="301">
        <v>3.25</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1591</v>
      </c>
      <c r="B1056" s="2">
        <v>7776</v>
      </c>
      <c r="C1056" s="301">
        <v>0.49038279624140757</v>
      </c>
      <c r="D1056" s="2">
        <v>295.15151515151501</v>
      </c>
      <c r="E1056" s="2">
        <v>8775</v>
      </c>
      <c r="F1056" s="301">
        <v>0.52260139360371627</v>
      </c>
      <c r="G1056" s="14">
        <v>323.030303030303</v>
      </c>
      <c r="H1056" s="2">
        <v>8689</v>
      </c>
      <c r="I1056" s="301">
        <v>0.49374928969201043</v>
      </c>
      <c r="J1056" s="14">
        <v>351.51513699999998</v>
      </c>
      <c r="K1056" s="301">
        <v>0.11741255144032922</v>
      </c>
      <c r="L1056" s="2">
        <v>15554</v>
      </c>
      <c r="M1056" s="301">
        <v>0.36955023877972865</v>
      </c>
      <c r="N1056" s="2">
        <v>477.575757575757</v>
      </c>
      <c r="O1056" s="2">
        <v>16884</v>
      </c>
      <c r="P1056" s="301">
        <v>0.3912046154915545</v>
      </c>
      <c r="Q1056" s="14">
        <v>432.12121212121201</v>
      </c>
      <c r="R1056" s="2">
        <v>15209</v>
      </c>
      <c r="S1056" s="301">
        <v>0.34193664425908854</v>
      </c>
      <c r="T1056" s="14">
        <v>513.93939999999998</v>
      </c>
      <c r="U1056" s="301">
        <v>-2.218078950752218E-2</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1919</v>
      </c>
      <c r="B1057" s="2">
        <v>2345</v>
      </c>
      <c r="C1057" s="301">
        <v>0.14788421517310968</v>
      </c>
      <c r="D1057" s="2">
        <v>226.666666666666</v>
      </c>
      <c r="E1057" s="2">
        <v>2750</v>
      </c>
      <c r="F1057" s="301">
        <v>0.16377821451968316</v>
      </c>
      <c r="G1057" s="14">
        <v>261.21212121212102</v>
      </c>
      <c r="H1057" s="2">
        <v>2481</v>
      </c>
      <c r="I1057" s="301">
        <v>0.14098192976474599</v>
      </c>
      <c r="J1057" s="14">
        <v>304.24243200000001</v>
      </c>
      <c r="K1057" s="301">
        <v>5.7995735607675909E-2</v>
      </c>
      <c r="L1057" s="2">
        <v>6089</v>
      </c>
      <c r="M1057" s="301">
        <v>0.14466962864406377</v>
      </c>
      <c r="N1057" s="2">
        <v>346.666666666666</v>
      </c>
      <c r="O1057" s="2">
        <v>6696</v>
      </c>
      <c r="P1057" s="301">
        <v>0.15514724622905998</v>
      </c>
      <c r="Q1057" s="14">
        <v>333.93939393939303</v>
      </c>
      <c r="R1057" s="2">
        <v>5547</v>
      </c>
      <c r="S1057" s="301">
        <v>0.12471053755704939</v>
      </c>
      <c r="T1057" s="14">
        <v>416.36364700000001</v>
      </c>
      <c r="U1057" s="301">
        <v>-8.9012974215798985E-2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1920</v>
      </c>
      <c r="B1058" s="2">
        <v>3265</v>
      </c>
      <c r="C1058" s="301">
        <v>0.2059027558806836</v>
      </c>
      <c r="D1058" s="2">
        <v>192.12121212121201</v>
      </c>
      <c r="E1058" s="2">
        <v>4334</v>
      </c>
      <c r="F1058" s="301">
        <v>0.25811446608302069</v>
      </c>
      <c r="G1058" s="14">
        <v>241.21212121212099</v>
      </c>
      <c r="H1058" s="2">
        <v>3992</v>
      </c>
      <c r="I1058" s="301">
        <v>0.22684395954085693</v>
      </c>
      <c r="J1058" s="14">
        <v>310.90910000000002</v>
      </c>
      <c r="K1058" s="301">
        <v>0.2226646248085758</v>
      </c>
      <c r="L1058" s="2">
        <v>6349</v>
      </c>
      <c r="M1058" s="301">
        <v>0.15084701465941219</v>
      </c>
      <c r="N1058" s="2">
        <v>307.27272727272702</v>
      </c>
      <c r="O1058" s="2">
        <v>7346</v>
      </c>
      <c r="P1058" s="301">
        <v>0.17020783614078175</v>
      </c>
      <c r="Q1058" s="14">
        <v>338.78787878787801</v>
      </c>
      <c r="R1058" s="2">
        <v>6494</v>
      </c>
      <c r="S1058" s="301">
        <v>0.14600148384630948</v>
      </c>
      <c r="T1058" s="14">
        <v>395.75756799999999</v>
      </c>
      <c r="U1058" s="301">
        <v>2.2838242242872894E-2</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1921</v>
      </c>
      <c r="B1059" s="2">
        <v>1039</v>
      </c>
      <c r="C1059" s="301">
        <v>6.5523112820836227E-2</v>
      </c>
      <c r="D1059" s="2">
        <v>156.969696969696</v>
      </c>
      <c r="E1059" s="2">
        <v>1226</v>
      </c>
      <c r="F1059" s="301">
        <v>7.3015305818593293E-2</v>
      </c>
      <c r="G1059" s="14">
        <v>145.45454545454501</v>
      </c>
      <c r="H1059" s="2">
        <v>1543</v>
      </c>
      <c r="I1059" s="301">
        <v>8.7680418229344248E-2</v>
      </c>
      <c r="J1059" s="14">
        <v>176.363632</v>
      </c>
      <c r="K1059" s="301">
        <v>0.48508180943214629</v>
      </c>
      <c r="L1059" s="2">
        <v>1670</v>
      </c>
      <c r="M1059" s="301">
        <v>3.9677825560122594E-2</v>
      </c>
      <c r="N1059" s="2">
        <v>191.51515151515099</v>
      </c>
      <c r="O1059" s="2">
        <v>1998</v>
      </c>
      <c r="P1059" s="301">
        <v>4.6293936374800157E-2</v>
      </c>
      <c r="Q1059" s="14">
        <v>196.363636363636</v>
      </c>
      <c r="R1059" s="2">
        <v>2365</v>
      </c>
      <c r="S1059" s="301">
        <v>5.3171159423548192E-2</v>
      </c>
      <c r="T1059" s="14">
        <v>219.393936</v>
      </c>
      <c r="U1059" s="301">
        <v>0.41616766467065869</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1922</v>
      </c>
      <c r="B1060" s="2">
        <v>529</v>
      </c>
      <c r="C1060" s="301">
        <v>3.3360660906855015E-2</v>
      </c>
      <c r="D1060" s="2">
        <v>102.424242424242</v>
      </c>
      <c r="E1060" s="2">
        <v>364</v>
      </c>
      <c r="F1060" s="301">
        <v>2.1678280030968972E-2</v>
      </c>
      <c r="G1060" s="14">
        <v>73.939393939393895</v>
      </c>
      <c r="H1060" s="2">
        <v>390</v>
      </c>
      <c r="I1060" s="301">
        <v>2.2161609273781111E-2</v>
      </c>
      <c r="J1060" s="14">
        <v>106.060608</v>
      </c>
      <c r="K1060" s="301">
        <v>-0.26275992438563328</v>
      </c>
      <c r="L1060" s="2">
        <v>728</v>
      </c>
      <c r="M1060" s="301">
        <v>1.7296680842975601E-2</v>
      </c>
      <c r="N1060" s="2">
        <v>112.121212121212</v>
      </c>
      <c r="O1060" s="2">
        <v>648</v>
      </c>
      <c r="P1060" s="301">
        <v>1.5014249635070321E-2</v>
      </c>
      <c r="Q1060" s="14">
        <v>112.121212121212</v>
      </c>
      <c r="R1060" s="2">
        <v>471</v>
      </c>
      <c r="S1060" s="301">
        <v>1.058926684502799E-2</v>
      </c>
      <c r="T1060" s="14">
        <v>113.333336</v>
      </c>
      <c r="U1060" s="301">
        <v>-0.35302197802197804</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1923</v>
      </c>
      <c r="B1061" s="2">
        <v>598</v>
      </c>
      <c r="C1061" s="301">
        <v>3.7712051459923061E-2</v>
      </c>
      <c r="D1061" s="2">
        <v>121.818181818181</v>
      </c>
      <c r="E1061" s="2">
        <v>101</v>
      </c>
      <c r="F1061" s="301">
        <v>6.0151271514501817E-3</v>
      </c>
      <c r="G1061" s="14">
        <v>38.787878787878697</v>
      </c>
      <c r="H1061" s="2">
        <v>283</v>
      </c>
      <c r="I1061" s="301">
        <v>1.608137288328219E-2</v>
      </c>
      <c r="J1061" s="14">
        <v>95.151510000000002</v>
      </c>
      <c r="K1061" s="301">
        <v>-0.52675585284280935</v>
      </c>
      <c r="L1061" s="2">
        <v>718</v>
      </c>
      <c r="M1061" s="301">
        <v>1.7059089073154506E-2</v>
      </c>
      <c r="N1061" s="2">
        <v>130.90909090909</v>
      </c>
      <c r="O1061" s="2">
        <v>196</v>
      </c>
      <c r="P1061" s="301">
        <v>4.5413471118422579E-3</v>
      </c>
      <c r="Q1061" s="14">
        <v>64.242424242424207</v>
      </c>
      <c r="R1061" s="2">
        <v>332</v>
      </c>
      <c r="S1061" s="301">
        <v>7.4641965871534884E-3</v>
      </c>
      <c r="T1061" s="14">
        <v>105.454544</v>
      </c>
      <c r="U1061" s="301">
        <v>-0.53760445682451252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1924</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1706</v>
      </c>
      <c r="C1064" s="304"/>
      <c r="D1064" s="304" t="s">
        <v>1707</v>
      </c>
      <c r="E1064" s="304" t="s">
        <v>1706</v>
      </c>
      <c r="F1064" s="304"/>
      <c r="G1064" s="304" t="s">
        <v>1707</v>
      </c>
      <c r="H1064" s="304" t="s">
        <v>1706</v>
      </c>
      <c r="I1064" s="304"/>
      <c r="J1064" s="304" t="s">
        <v>1707</v>
      </c>
      <c r="K1064" t="s">
        <v>172</v>
      </c>
      <c r="L1064" s="304" t="s">
        <v>1706</v>
      </c>
      <c r="M1064" s="304"/>
      <c r="N1064" s="304" t="s">
        <v>1707</v>
      </c>
      <c r="O1064" s="304" t="s">
        <v>1706</v>
      </c>
      <c r="P1064" s="304"/>
      <c r="Q1064" s="304" t="s">
        <v>1707</v>
      </c>
      <c r="R1064" s="304" t="s">
        <v>1706</v>
      </c>
      <c r="S1064" s="304"/>
      <c r="T1064" s="304" t="s">
        <v>1707</v>
      </c>
      <c r="U1064" t="s">
        <v>172</v>
      </c>
      <c r="V1064" s="207" t="s">
        <v>1706</v>
      </c>
      <c r="W1064" s="207"/>
      <c r="X1064" s="207" t="s">
        <v>1707</v>
      </c>
      <c r="Y1064" s="207" t="s">
        <v>1706</v>
      </c>
      <c r="Z1064" s="207"/>
      <c r="AA1064" s="207" t="s">
        <v>1707</v>
      </c>
      <c r="AB1064" s="207" t="s">
        <v>1706</v>
      </c>
      <c r="AC1064" s="207"/>
      <c r="AD1064" s="207" t="s">
        <v>1707</v>
      </c>
      <c r="AE1064" t="s">
        <v>172</v>
      </c>
    </row>
    <row r="1065" spans="1:31" x14ac:dyDescent="0.3">
      <c r="A1065" t="s">
        <v>174</v>
      </c>
      <c r="B1065" s="2">
        <v>15857</v>
      </c>
      <c r="C1065" t="s">
        <v>172</v>
      </c>
      <c r="D1065" s="2">
        <v>297.575757575757</v>
      </c>
      <c r="E1065" s="2">
        <v>16791</v>
      </c>
      <c r="F1065" t="s">
        <v>172</v>
      </c>
      <c r="G1065" s="14">
        <v>318.18181818181802</v>
      </c>
      <c r="H1065" s="2">
        <v>17598</v>
      </c>
      <c r="I1065" t="s">
        <v>172</v>
      </c>
      <c r="J1065" s="14">
        <v>315.75756799999999</v>
      </c>
      <c r="K1065" s="301">
        <v>0.1097937819259633</v>
      </c>
      <c r="L1065" s="2">
        <v>42089</v>
      </c>
      <c r="M1065" t="s">
        <v>172</v>
      </c>
      <c r="N1065" s="2">
        <v>393.33333333333297</v>
      </c>
      <c r="O1065" s="2">
        <v>43159</v>
      </c>
      <c r="P1065" t="s">
        <v>172</v>
      </c>
      <c r="Q1065" s="14">
        <v>457.575757575757</v>
      </c>
      <c r="R1065" s="2">
        <v>44479</v>
      </c>
      <c r="S1065" t="s">
        <v>172</v>
      </c>
      <c r="T1065" s="14">
        <v>306.06060000000002</v>
      </c>
      <c r="U1065" s="301">
        <v>5.6784432987241319E-2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1588</v>
      </c>
      <c r="B1066" s="2">
        <v>8081</v>
      </c>
      <c r="C1066" s="301">
        <v>0.50961720375859243</v>
      </c>
      <c r="D1066" s="2">
        <v>304.84848484848402</v>
      </c>
      <c r="E1066" s="2">
        <v>8016</v>
      </c>
      <c r="F1066" s="301">
        <v>0.47739860639628373</v>
      </c>
      <c r="G1066" s="14">
        <v>314.54545454545399</v>
      </c>
      <c r="H1066" s="2">
        <v>8909</v>
      </c>
      <c r="I1066" s="301">
        <v>0.50625071030798952</v>
      </c>
      <c r="J1066" s="14">
        <v>390.30304000000001</v>
      </c>
      <c r="K1066" s="301">
        <v>0.1024625665140453</v>
      </c>
      <c r="L1066" s="2">
        <v>26535</v>
      </c>
      <c r="M1066" s="301">
        <v>0.6304497612202713</v>
      </c>
      <c r="N1066" s="2">
        <v>493.93939393939399</v>
      </c>
      <c r="O1066" s="2">
        <v>26275</v>
      </c>
      <c r="P1066" s="301">
        <v>0.6087953845084455</v>
      </c>
      <c r="Q1066" s="14">
        <v>477.575757575757</v>
      </c>
      <c r="R1066" s="2">
        <v>29270</v>
      </c>
      <c r="S1066" s="301">
        <v>0.65806335574091146</v>
      </c>
      <c r="T1066" s="14">
        <v>513.33330000000001</v>
      </c>
      <c r="U1066" s="301">
        <v>0.10307141511211608</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1925</v>
      </c>
      <c r="B1067" s="2">
        <v>1225</v>
      </c>
      <c r="C1067" s="301">
        <v>7.7252948224758783E-2</v>
      </c>
      <c r="D1067" s="2">
        <v>155.15151515151501</v>
      </c>
      <c r="E1067" s="2">
        <v>1209</v>
      </c>
      <c r="F1067" s="301">
        <v>7.2002858674289794E-2</v>
      </c>
      <c r="G1067" s="14">
        <v>149.69696969696901</v>
      </c>
      <c r="H1067" s="2">
        <v>1105</v>
      </c>
      <c r="I1067" s="301">
        <v>6.2791226275713152E-2</v>
      </c>
      <c r="J1067" s="14">
        <v>164.24243200000001</v>
      </c>
      <c r="K1067" s="301">
        <v>-9.7959183673469383E-2</v>
      </c>
      <c r="L1067" s="2">
        <v>2483</v>
      </c>
      <c r="M1067" s="301">
        <v>5.899403644657749E-2</v>
      </c>
      <c r="N1067" s="2">
        <v>209.69696969696901</v>
      </c>
      <c r="O1067" s="2">
        <v>2706</v>
      </c>
      <c r="P1067" s="301">
        <v>6.2698394309414027E-2</v>
      </c>
      <c r="Q1067" s="14">
        <v>220</v>
      </c>
      <c r="R1067" s="2">
        <v>3016</v>
      </c>
      <c r="S1067" s="301">
        <v>6.7807279839924461E-2</v>
      </c>
      <c r="T1067" s="14">
        <v>257.57574499999998</v>
      </c>
      <c r="U1067" s="301">
        <v>0.21465968586387435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1926</v>
      </c>
      <c r="B1068" s="2">
        <v>967</v>
      </c>
      <c r="C1068" s="301">
        <v>6.0982531374156525E-2</v>
      </c>
      <c r="D1068" s="2">
        <v>140.60606060606</v>
      </c>
      <c r="E1068" s="2">
        <v>1061</v>
      </c>
      <c r="F1068" s="301">
        <v>6.3188612947412306E-2</v>
      </c>
      <c r="G1068" s="14">
        <v>136.969696969696</v>
      </c>
      <c r="H1068" s="2">
        <v>1063</v>
      </c>
      <c r="I1068" s="301">
        <v>6.0404591430844416E-2</v>
      </c>
      <c r="J1068" s="14">
        <v>161.21212800000001</v>
      </c>
      <c r="K1068" s="301">
        <v>9.927611168562564E-2</v>
      </c>
      <c r="L1068" s="2">
        <v>2083</v>
      </c>
      <c r="M1068" s="301">
        <v>4.9490365653733756E-2</v>
      </c>
      <c r="N1068" s="2">
        <v>205.45454545454501</v>
      </c>
      <c r="O1068" s="2">
        <v>2360</v>
      </c>
      <c r="P1068" s="301">
        <v>5.4681526448712901E-2</v>
      </c>
      <c r="Q1068" s="14">
        <v>209.09090909090901</v>
      </c>
      <c r="R1068" s="2">
        <v>2825</v>
      </c>
      <c r="S1068" s="301">
        <v>6.3513118550327125E-2</v>
      </c>
      <c r="T1068" s="14">
        <v>253.939392</v>
      </c>
      <c r="U1068" s="301">
        <v>0.35621699471915508</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1927</v>
      </c>
      <c r="B1069" s="2">
        <v>181</v>
      </c>
      <c r="C1069" s="301">
        <v>1.1414517247903135E-2</v>
      </c>
      <c r="D1069" s="2">
        <v>65.454545454545396</v>
      </c>
      <c r="E1069" s="2">
        <v>139</v>
      </c>
      <c r="F1069" s="301">
        <v>8.2782442975403488E-3</v>
      </c>
      <c r="G1069" s="14">
        <v>56.969696969696898</v>
      </c>
      <c r="H1069" s="2">
        <v>42</v>
      </c>
      <c r="I1069" s="301">
        <v>2.3866348448687352E-3</v>
      </c>
      <c r="J1069" s="14">
        <v>25.454546000000001</v>
      </c>
      <c r="K1069" s="301">
        <v>-0.76795580110497241</v>
      </c>
      <c r="L1069" s="2">
        <v>282</v>
      </c>
      <c r="M1069" s="301">
        <v>6.7000879089548337E-3</v>
      </c>
      <c r="N1069" s="2">
        <v>82.424242424242394</v>
      </c>
      <c r="O1069" s="2">
        <v>245</v>
      </c>
      <c r="P1069" s="301">
        <v>5.6766838898028218E-3</v>
      </c>
      <c r="Q1069" s="14">
        <v>73.939393939393895</v>
      </c>
      <c r="R1069" s="2">
        <v>151</v>
      </c>
      <c r="S1069" s="301">
        <v>3.3948604959643876E-3</v>
      </c>
      <c r="T1069" s="14">
        <v>62.4242439</v>
      </c>
      <c r="U1069" s="301">
        <v>-0.46453900709219859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1928</v>
      </c>
      <c r="B1070" s="2">
        <v>77</v>
      </c>
      <c r="C1070" s="301">
        <v>4.8558996026991236E-3</v>
      </c>
      <c r="D1070" s="2">
        <v>35.151515151515099</v>
      </c>
      <c r="E1070" s="2">
        <v>9</v>
      </c>
      <c r="F1070" s="301">
        <v>5.3600142933714486E-4</v>
      </c>
      <c r="G1070" s="14">
        <v>9.0909090909090899</v>
      </c>
      <c r="H1070" s="2">
        <v>0</v>
      </c>
      <c r="I1070" s="301">
        <v>0</v>
      </c>
      <c r="J1070" s="14">
        <v>18.787877999999999</v>
      </c>
      <c r="K1070" s="301">
        <v>-1</v>
      </c>
      <c r="L1070" s="2">
        <v>118</v>
      </c>
      <c r="M1070" s="301">
        <v>2.8035828838889019E-3</v>
      </c>
      <c r="N1070" s="2">
        <v>47.878787878787797</v>
      </c>
      <c r="O1070" s="2">
        <v>101</v>
      </c>
      <c r="P1070" s="301">
        <v>2.3401839708983062E-3</v>
      </c>
      <c r="Q1070" s="14">
        <v>47.272727272727202</v>
      </c>
      <c r="R1070" s="2">
        <v>40</v>
      </c>
      <c r="S1070" s="301">
        <v>8.9930079363295039E-4</v>
      </c>
      <c r="T1070" s="14">
        <v>27.272728000000001</v>
      </c>
      <c r="U1070" s="301">
        <v>-0.66101694915254239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1929</v>
      </c>
      <c r="B1071" s="2">
        <v>4806</v>
      </c>
      <c r="C1071" s="301">
        <v>0.30308381156586994</v>
      </c>
      <c r="D1071" s="2">
        <v>249.09090909090901</v>
      </c>
      <c r="E1071" s="2">
        <v>4977</v>
      </c>
      <c r="F1071" s="301">
        <v>0.29640879042344115</v>
      </c>
      <c r="G1071" s="14">
        <v>263.030303030303</v>
      </c>
      <c r="H1071" s="2">
        <v>5785</v>
      </c>
      <c r="I1071" s="301">
        <v>0.3287305375610865</v>
      </c>
      <c r="J1071" s="14">
        <v>326.66665599999999</v>
      </c>
      <c r="K1071" s="301">
        <v>0.20370370370370369</v>
      </c>
      <c r="L1071" s="2">
        <v>16523</v>
      </c>
      <c r="M1071" s="301">
        <v>0.39257288127539264</v>
      </c>
      <c r="N1071" s="2">
        <v>409.69696969696901</v>
      </c>
      <c r="O1071" s="2">
        <v>14800</v>
      </c>
      <c r="P1071" s="301">
        <v>0.34291804722074193</v>
      </c>
      <c r="Q1071" s="14">
        <v>393.33333333333297</v>
      </c>
      <c r="R1071" s="2">
        <v>16051</v>
      </c>
      <c r="S1071" s="301">
        <v>0.36086692596506215</v>
      </c>
      <c r="T1071" s="14">
        <v>401.81817599999999</v>
      </c>
      <c r="U1071" s="301">
        <v>-2.8566240997397567E-2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1926</v>
      </c>
      <c r="B1072" s="2">
        <v>4511</v>
      </c>
      <c r="C1072" s="301">
        <v>0.284480040360724</v>
      </c>
      <c r="D1072" s="2">
        <v>244.24242424242399</v>
      </c>
      <c r="E1072" s="2">
        <v>4499</v>
      </c>
      <c r="F1072" s="301">
        <v>0.26794115895420167</v>
      </c>
      <c r="G1072" s="14">
        <v>267.87878787878702</v>
      </c>
      <c r="H1072" s="2">
        <v>5275</v>
      </c>
      <c r="I1072" s="301">
        <v>0.29974997158768041</v>
      </c>
      <c r="J1072" s="14">
        <v>333.33334400000001</v>
      </c>
      <c r="K1072" s="301">
        <v>0.1693637774329417</v>
      </c>
      <c r="L1072" s="2">
        <v>15643</v>
      </c>
      <c r="M1072" s="301">
        <v>0.3716648055311364</v>
      </c>
      <c r="N1072" s="2">
        <v>380</v>
      </c>
      <c r="O1072" s="2">
        <v>13813</v>
      </c>
      <c r="P1072" s="301">
        <v>0.32004912069325053</v>
      </c>
      <c r="Q1072" s="14">
        <v>390.90909090909099</v>
      </c>
      <c r="R1072" s="2">
        <v>14849</v>
      </c>
      <c r="S1072" s="301">
        <v>0.33384293711639201</v>
      </c>
      <c r="T1072" s="14">
        <v>428.48486300000002</v>
      </c>
      <c r="U1072" s="301">
        <v>-5.075752732851755E-2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1927</v>
      </c>
      <c r="B1073" s="2">
        <v>197</v>
      </c>
      <c r="C1073" s="301">
        <v>1.2423535347165289E-2</v>
      </c>
      <c r="D1073" s="2">
        <v>67.272727272727195</v>
      </c>
      <c r="E1073" s="2">
        <v>382</v>
      </c>
      <c r="F1073" s="301">
        <v>2.2750282889643262E-2</v>
      </c>
      <c r="G1073" s="14">
        <v>87.878787878787904</v>
      </c>
      <c r="H1073" s="2">
        <v>351</v>
      </c>
      <c r="I1073" s="301">
        <v>1.9945448346403001E-2</v>
      </c>
      <c r="J1073" s="14">
        <v>96.363640000000004</v>
      </c>
      <c r="K1073" s="301">
        <v>0.78172588832487311</v>
      </c>
      <c r="L1073" s="2">
        <v>581</v>
      </c>
      <c r="M1073" s="301">
        <v>1.3804081826605526E-2</v>
      </c>
      <c r="N1073" s="2">
        <v>109.69696969696901</v>
      </c>
      <c r="O1073" s="2">
        <v>701</v>
      </c>
      <c r="P1073" s="301">
        <v>1.6242266966333789E-2</v>
      </c>
      <c r="Q1073" s="14">
        <v>115.757575757575</v>
      </c>
      <c r="R1073" s="2">
        <v>782</v>
      </c>
      <c r="S1073" s="301">
        <v>1.7581330515524182E-2</v>
      </c>
      <c r="T1073" s="14">
        <v>136.96969999999999</v>
      </c>
      <c r="U1073" s="301">
        <v>0.34595524956970741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1928</v>
      </c>
      <c r="B1074" s="2">
        <v>98</v>
      </c>
      <c r="C1074" s="301">
        <v>6.1802358579807022E-3</v>
      </c>
      <c r="D1074" s="2">
        <v>51.515151515151501</v>
      </c>
      <c r="E1074" s="2">
        <v>96</v>
      </c>
      <c r="F1074" s="301">
        <v>5.7173485795962119E-3</v>
      </c>
      <c r="G1074" s="14">
        <v>35.757575757575701</v>
      </c>
      <c r="H1074" s="2">
        <v>159</v>
      </c>
      <c r="I1074" s="301">
        <v>9.035117627003068E-3</v>
      </c>
      <c r="J1074" s="14">
        <v>60</v>
      </c>
      <c r="K1074" s="301">
        <v>0.62244897959183676</v>
      </c>
      <c r="L1074" s="2">
        <v>299</v>
      </c>
      <c r="M1074" s="301">
        <v>7.1039939176506927E-3</v>
      </c>
      <c r="N1074" s="2">
        <v>93.3333333333333</v>
      </c>
      <c r="O1074" s="2">
        <v>286</v>
      </c>
      <c r="P1074" s="301">
        <v>6.6266595611575805E-3</v>
      </c>
      <c r="Q1074" s="14">
        <v>90.303030303030297</v>
      </c>
      <c r="R1074" s="2">
        <v>420</v>
      </c>
      <c r="S1074" s="301">
        <v>9.4426583331459792E-3</v>
      </c>
      <c r="T1074" s="14">
        <v>99.393936199999999</v>
      </c>
      <c r="U1074" s="301">
        <v>0.40468227424749165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1930</v>
      </c>
      <c r="B1075" s="2">
        <v>2050</v>
      </c>
      <c r="C1075" s="301">
        <v>0.12928044396796368</v>
      </c>
      <c r="D1075" s="2">
        <v>156.969696969696</v>
      </c>
      <c r="E1075" s="2">
        <v>1830</v>
      </c>
      <c r="F1075" s="301">
        <v>0.1089869572985528</v>
      </c>
      <c r="G1075" s="14">
        <v>163.030303030303</v>
      </c>
      <c r="H1075" s="2">
        <v>2019</v>
      </c>
      <c r="I1075" s="301">
        <v>0.1147289464711899</v>
      </c>
      <c r="J1075" s="14">
        <v>188.484848</v>
      </c>
      <c r="K1075" s="301">
        <v>-1.5121951219512195E-2</v>
      </c>
      <c r="L1075" s="2">
        <v>7529</v>
      </c>
      <c r="M1075" s="301">
        <v>0.17888284349830122</v>
      </c>
      <c r="N1075" s="2">
        <v>235.15151515151501</v>
      </c>
      <c r="O1075" s="2">
        <v>8769</v>
      </c>
      <c r="P1075" s="301">
        <v>0.20317894297828959</v>
      </c>
      <c r="Q1075" s="14">
        <v>243.030303030303</v>
      </c>
      <c r="R1075" s="2">
        <v>10203</v>
      </c>
      <c r="S1075" s="301">
        <v>0.22938914993592482</v>
      </c>
      <c r="T1075" s="14">
        <v>260</v>
      </c>
      <c r="U1075" s="301">
        <v>0.3551600478151149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1926</v>
      </c>
      <c r="B1076" s="2">
        <v>2030</v>
      </c>
      <c r="C1076" s="301">
        <v>0.12801917134388599</v>
      </c>
      <c r="D1076" s="2">
        <v>157.575757575757</v>
      </c>
      <c r="E1076" s="2">
        <v>1812</v>
      </c>
      <c r="F1076" s="301">
        <v>0.1079149544398785</v>
      </c>
      <c r="G1076" s="14">
        <v>161.81818181818099</v>
      </c>
      <c r="H1076" s="2">
        <v>1965</v>
      </c>
      <c r="I1076" s="301">
        <v>0.11166041595635867</v>
      </c>
      <c r="J1076" s="14">
        <v>186.66667200000001</v>
      </c>
      <c r="K1076" s="301">
        <v>-3.2019704433497539E-2</v>
      </c>
      <c r="L1076" s="2">
        <v>7417</v>
      </c>
      <c r="M1076" s="301">
        <v>0.17622181567630496</v>
      </c>
      <c r="N1076" s="2">
        <v>236.363636363636</v>
      </c>
      <c r="O1076" s="2">
        <v>8655</v>
      </c>
      <c r="P1076" s="301">
        <v>0.20053754720915684</v>
      </c>
      <c r="Q1076" s="14">
        <v>236.363636363636</v>
      </c>
      <c r="R1076" s="2">
        <v>9924</v>
      </c>
      <c r="S1076" s="301">
        <v>0.22311652690033498</v>
      </c>
      <c r="T1076" s="14">
        <v>255.75756799999999</v>
      </c>
      <c r="U1076" s="301">
        <v>0.33800728057165969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1927</v>
      </c>
      <c r="B1077" s="2">
        <v>20</v>
      </c>
      <c r="C1077" s="301">
        <v>1.2612726240776944E-3</v>
      </c>
      <c r="D1077" s="2">
        <v>18.181818181818102</v>
      </c>
      <c r="E1077" s="2">
        <v>12</v>
      </c>
      <c r="F1077" s="301">
        <v>7.1466857244952648E-4</v>
      </c>
      <c r="G1077" s="14">
        <v>10.909090909090899</v>
      </c>
      <c r="H1077" s="2">
        <v>54</v>
      </c>
      <c r="I1077" s="301">
        <v>3.0685305148312309E-3</v>
      </c>
      <c r="J1077" s="14">
        <v>36.969695999999999</v>
      </c>
      <c r="K1077" s="301">
        <v>1.7</v>
      </c>
      <c r="L1077" s="2">
        <v>57</v>
      </c>
      <c r="M1077" s="301">
        <v>1.3542730879802323E-3</v>
      </c>
      <c r="N1077" s="2">
        <v>27.272727272727199</v>
      </c>
      <c r="O1077" s="2">
        <v>88</v>
      </c>
      <c r="P1077" s="301">
        <v>2.0389721726638706E-3</v>
      </c>
      <c r="Q1077" s="14">
        <v>33.3333333333333</v>
      </c>
      <c r="R1077" s="2">
        <v>266</v>
      </c>
      <c r="S1077" s="301">
        <v>5.9803502776591203E-3</v>
      </c>
      <c r="T1077" s="14">
        <v>103.030304</v>
      </c>
      <c r="U1077" s="301">
        <v>3.6666666666666665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1928</v>
      </c>
      <c r="B1078" s="2">
        <v>0</v>
      </c>
      <c r="C1078" s="301">
        <v>0</v>
      </c>
      <c r="D1078" s="2">
        <v>80</v>
      </c>
      <c r="E1078" s="2">
        <v>6</v>
      </c>
      <c r="F1078" s="301">
        <v>3.5733428622476324E-4</v>
      </c>
      <c r="G1078" s="14">
        <v>6.0606060606060597</v>
      </c>
      <c r="H1078" s="2">
        <v>0</v>
      </c>
      <c r="I1078" s="301">
        <v>0</v>
      </c>
      <c r="J1078" s="14">
        <v>18.787877999999999</v>
      </c>
      <c r="L1078" s="2">
        <v>55</v>
      </c>
      <c r="M1078" s="301">
        <v>1.3067547340160136E-3</v>
      </c>
      <c r="N1078" s="2">
        <v>30.909090909090899</v>
      </c>
      <c r="O1078" s="2">
        <v>26</v>
      </c>
      <c r="P1078" s="301">
        <v>6.0242359646887087E-4</v>
      </c>
      <c r="Q1078" s="14">
        <v>17.5757575757575</v>
      </c>
      <c r="R1078" s="2">
        <v>13</v>
      </c>
      <c r="S1078" s="301">
        <v>2.9227275793070886E-4</v>
      </c>
      <c r="T1078" s="14">
        <v>12.727273</v>
      </c>
      <c r="U1078" s="301">
        <v>-0.76363636363636367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1591</v>
      </c>
      <c r="B1079" s="2">
        <v>7776</v>
      </c>
      <c r="C1079" s="301">
        <v>0.49038279624140757</v>
      </c>
      <c r="D1079" s="2">
        <v>295.15151515151501</v>
      </c>
      <c r="E1079" s="2">
        <v>8775</v>
      </c>
      <c r="F1079" s="301">
        <v>0.52260139360371627</v>
      </c>
      <c r="G1079" s="14">
        <v>323.030303030303</v>
      </c>
      <c r="H1079" s="2">
        <v>8689</v>
      </c>
      <c r="I1079" s="301">
        <v>0.49374928969201043</v>
      </c>
      <c r="J1079" s="14">
        <v>351.51513699999998</v>
      </c>
      <c r="K1079" s="301">
        <v>0.11741255144032922</v>
      </c>
      <c r="L1079" s="2">
        <v>15554</v>
      </c>
      <c r="M1079" s="301">
        <v>0.36955023877972865</v>
      </c>
      <c r="N1079" s="2">
        <v>477.575757575757</v>
      </c>
      <c r="O1079" s="2">
        <v>16884</v>
      </c>
      <c r="P1079" s="301">
        <v>0.3912046154915545</v>
      </c>
      <c r="Q1079" s="14">
        <v>432.12121212121201</v>
      </c>
      <c r="R1079" s="2">
        <v>15209</v>
      </c>
      <c r="S1079" s="301">
        <v>0.34193664425908854</v>
      </c>
      <c r="T1079" s="14">
        <v>513.93939999999998</v>
      </c>
      <c r="U1079" s="301">
        <v>-2.218078950752218E-2</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1925</v>
      </c>
      <c r="B1080" s="2">
        <v>3075</v>
      </c>
      <c r="C1080" s="301">
        <v>0.19392066595194551</v>
      </c>
      <c r="D1080" s="2">
        <v>198.18181818181799</v>
      </c>
      <c r="E1080" s="2">
        <v>3056</v>
      </c>
      <c r="F1080" s="301">
        <v>0.1820022631171461</v>
      </c>
      <c r="G1080" s="14">
        <v>198.18181818181799</v>
      </c>
      <c r="H1080" s="2">
        <v>3044</v>
      </c>
      <c r="I1080" s="301">
        <v>0.17297420161381974</v>
      </c>
      <c r="J1080" s="14">
        <v>300</v>
      </c>
      <c r="K1080" s="301">
        <v>-1.0081300813008131E-2</v>
      </c>
      <c r="L1080" s="2">
        <v>5823</v>
      </c>
      <c r="M1080" s="301">
        <v>0.1383496875668227</v>
      </c>
      <c r="N1080" s="2">
        <v>266.666666666666</v>
      </c>
      <c r="O1080" s="2">
        <v>5351</v>
      </c>
      <c r="P1080" s="301">
        <v>0.12398341018095878</v>
      </c>
      <c r="Q1080" s="14">
        <v>324.84848484848402</v>
      </c>
      <c r="R1080" s="2">
        <v>4839</v>
      </c>
      <c r="S1080" s="301">
        <v>0.10879291350974617</v>
      </c>
      <c r="T1080" s="14">
        <v>312.72726399999999</v>
      </c>
      <c r="U1080" s="301">
        <v>-0.1689850592478104</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1926</v>
      </c>
      <c r="B1081" s="2">
        <v>1911</v>
      </c>
      <c r="C1081" s="301">
        <v>0.1205145992306237</v>
      </c>
      <c r="D1081" s="2">
        <v>173.333333333333</v>
      </c>
      <c r="E1081" s="2">
        <v>2226</v>
      </c>
      <c r="F1081" s="301">
        <v>0.13257102018938718</v>
      </c>
      <c r="G1081" s="14">
        <v>190.90909090909</v>
      </c>
      <c r="H1081" s="2">
        <v>2278</v>
      </c>
      <c r="I1081" s="301">
        <v>0.12944652801454712</v>
      </c>
      <c r="J1081" s="14">
        <v>300</v>
      </c>
      <c r="K1081" s="301">
        <v>0.19204604918890633</v>
      </c>
      <c r="L1081" s="2">
        <v>4086</v>
      </c>
      <c r="M1081" s="301">
        <v>9.7079997148898756E-2</v>
      </c>
      <c r="N1081" s="2">
        <v>244.24242424242399</v>
      </c>
      <c r="O1081" s="2">
        <v>4075</v>
      </c>
      <c r="P1081" s="301">
        <v>9.4418313677332652E-2</v>
      </c>
      <c r="Q1081" s="14">
        <v>284.84848484848402</v>
      </c>
      <c r="R1081" s="2">
        <v>3645</v>
      </c>
      <c r="S1081" s="301">
        <v>8.1948784819802598E-2</v>
      </c>
      <c r="T1081" s="14">
        <v>327.878784</v>
      </c>
      <c r="U1081" s="301">
        <v>-0.10792951541850221</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1927</v>
      </c>
      <c r="B1082" s="2">
        <v>506</v>
      </c>
      <c r="C1082" s="301">
        <v>3.1910197389165666E-2</v>
      </c>
      <c r="D1082" s="2">
        <v>103.636363636363</v>
      </c>
      <c r="E1082" s="2">
        <v>552</v>
      </c>
      <c r="F1082" s="301">
        <v>3.2874754332678217E-2</v>
      </c>
      <c r="G1082" s="14">
        <v>89.090909090909093</v>
      </c>
      <c r="H1082" s="2">
        <v>431</v>
      </c>
      <c r="I1082" s="301">
        <v>2.4491419479486305E-2</v>
      </c>
      <c r="J1082" s="14">
        <v>116.36364</v>
      </c>
      <c r="K1082" s="301">
        <v>-0.14822134387351779</v>
      </c>
      <c r="L1082" s="2">
        <v>887</v>
      </c>
      <c r="M1082" s="301">
        <v>2.1074389983130985E-2</v>
      </c>
      <c r="N1082" s="2">
        <v>138.78787878787799</v>
      </c>
      <c r="O1082" s="2">
        <v>839</v>
      </c>
      <c r="P1082" s="301">
        <v>1.9439746055283948E-2</v>
      </c>
      <c r="Q1082" s="14">
        <v>121.818181818181</v>
      </c>
      <c r="R1082" s="2">
        <v>823</v>
      </c>
      <c r="S1082" s="301">
        <v>1.8503113828997955E-2</v>
      </c>
      <c r="T1082" s="14">
        <v>136.363632</v>
      </c>
      <c r="U1082" s="301">
        <v>-7.2153325817361891E-2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1928</v>
      </c>
      <c r="B1083" s="2">
        <v>658</v>
      </c>
      <c r="C1083" s="301">
        <v>4.1495869332156148E-2</v>
      </c>
      <c r="D1083" s="2">
        <v>118.787878787878</v>
      </c>
      <c r="E1083" s="2">
        <v>278</v>
      </c>
      <c r="F1083" s="301">
        <v>1.6556488595080698E-2</v>
      </c>
      <c r="G1083" s="14">
        <v>76.969696969696898</v>
      </c>
      <c r="H1083" s="2">
        <v>335</v>
      </c>
      <c r="I1083" s="301">
        <v>1.903625411978634E-2</v>
      </c>
      <c r="J1083" s="14">
        <v>97.575760000000002</v>
      </c>
      <c r="K1083" s="301">
        <v>-0.49088145896656538</v>
      </c>
      <c r="L1083" s="2">
        <v>850</v>
      </c>
      <c r="M1083" s="301">
        <v>2.0195300434792937E-2</v>
      </c>
      <c r="N1083" s="2">
        <v>130.90909090909</v>
      </c>
      <c r="O1083" s="2">
        <v>437</v>
      </c>
      <c r="P1083" s="301">
        <v>1.0125350448342176E-2</v>
      </c>
      <c r="Q1083" s="14">
        <v>109.69696969696901</v>
      </c>
      <c r="R1083" s="2">
        <v>371</v>
      </c>
      <c r="S1083" s="301">
        <v>8.3410148609456142E-3</v>
      </c>
      <c r="T1083" s="14">
        <v>100</v>
      </c>
      <c r="U1083" s="301">
        <v>-0.56352941176470583</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1929</v>
      </c>
      <c r="B1084" s="2">
        <v>3953</v>
      </c>
      <c r="C1084" s="301">
        <v>0.2492905341489563</v>
      </c>
      <c r="D1084" s="2">
        <v>234.54545454545399</v>
      </c>
      <c r="E1084" s="2">
        <v>4806</v>
      </c>
      <c r="F1084" s="301">
        <v>0.28622476326603535</v>
      </c>
      <c r="G1084" s="14">
        <v>302.42424242424198</v>
      </c>
      <c r="H1084" s="2">
        <v>4756</v>
      </c>
      <c r="I1084" s="301">
        <v>0.2702579838618025</v>
      </c>
      <c r="J1084" s="14">
        <v>313.33334400000001</v>
      </c>
      <c r="K1084" s="301">
        <v>0.20313685808246901</v>
      </c>
      <c r="L1084" s="2">
        <v>8225</v>
      </c>
      <c r="M1084" s="301">
        <v>0.19541923067784933</v>
      </c>
      <c r="N1084" s="2">
        <v>380.60606060606</v>
      </c>
      <c r="O1084" s="2">
        <v>9570</v>
      </c>
      <c r="P1084" s="301">
        <v>0.22173822377719596</v>
      </c>
      <c r="Q1084" s="14">
        <v>389.69696969696901</v>
      </c>
      <c r="R1084" s="2">
        <v>8535</v>
      </c>
      <c r="S1084" s="301">
        <v>0.19188830684143079</v>
      </c>
      <c r="T1084" s="14">
        <v>412.121216</v>
      </c>
      <c r="U1084" s="301">
        <v>3.7689969604863219E-2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1926</v>
      </c>
      <c r="B1085" s="2">
        <v>3008</v>
      </c>
      <c r="C1085" s="301">
        <v>0.18969540266128523</v>
      </c>
      <c r="D1085" s="2">
        <v>212.72727272727201</v>
      </c>
      <c r="E1085" s="2">
        <v>3945</v>
      </c>
      <c r="F1085" s="301">
        <v>0.23494729319278185</v>
      </c>
      <c r="G1085" s="14">
        <v>287.27272727272702</v>
      </c>
      <c r="H1085" s="2">
        <v>3306</v>
      </c>
      <c r="I1085" s="301">
        <v>0.18786225707466758</v>
      </c>
      <c r="J1085" s="14">
        <v>271.51513699999998</v>
      </c>
      <c r="K1085" s="301">
        <v>9.9069148936170207E-2</v>
      </c>
      <c r="L1085" s="2">
        <v>6938</v>
      </c>
      <c r="M1085" s="301">
        <v>0.16484116990187461</v>
      </c>
      <c r="N1085" s="2">
        <v>356.36363636363598</v>
      </c>
      <c r="O1085" s="2">
        <v>8071</v>
      </c>
      <c r="P1085" s="301">
        <v>0.18700618642693298</v>
      </c>
      <c r="Q1085" s="14">
        <v>380</v>
      </c>
      <c r="R1085" s="2">
        <v>6610</v>
      </c>
      <c r="S1085" s="301">
        <v>0.14860945614784504</v>
      </c>
      <c r="T1085" s="14">
        <v>395.75756799999999</v>
      </c>
      <c r="U1085" s="301">
        <v>-4.7275872009224562E-2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1927</v>
      </c>
      <c r="B1086" s="2">
        <v>533</v>
      </c>
      <c r="C1086" s="301">
        <v>3.3612915431670554E-2</v>
      </c>
      <c r="D1086" s="2">
        <v>105.454545454545</v>
      </c>
      <c r="E1086" s="2">
        <v>674</v>
      </c>
      <c r="F1086" s="301">
        <v>4.0140551485915076E-2</v>
      </c>
      <c r="G1086" s="14">
        <v>129.09090909090901</v>
      </c>
      <c r="H1086" s="2">
        <v>1112</v>
      </c>
      <c r="I1086" s="301">
        <v>6.3188998749857936E-2</v>
      </c>
      <c r="J1086" s="14">
        <v>147.878784</v>
      </c>
      <c r="K1086" s="301">
        <v>1.0863039399624765</v>
      </c>
      <c r="L1086" s="2">
        <v>762</v>
      </c>
      <c r="M1086" s="301">
        <v>1.8104492860367315E-2</v>
      </c>
      <c r="N1086" s="2">
        <v>127.87878787878699</v>
      </c>
      <c r="O1086" s="2">
        <v>1107</v>
      </c>
      <c r="P1086" s="301">
        <v>2.5649343126578465E-2</v>
      </c>
      <c r="Q1086" s="14">
        <v>149.69696969696901</v>
      </c>
      <c r="R1086" s="2">
        <v>1493</v>
      </c>
      <c r="S1086" s="301">
        <v>3.3566402122349875E-2</v>
      </c>
      <c r="T1086" s="14">
        <v>184.24243200000001</v>
      </c>
      <c r="U1086" s="301">
        <v>0.95931758530183731</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1928</v>
      </c>
      <c r="B1087" s="2">
        <v>412</v>
      </c>
      <c r="C1087" s="301">
        <v>2.5982216056000505E-2</v>
      </c>
      <c r="D1087" s="2">
        <v>87.878787878787904</v>
      </c>
      <c r="E1087" s="2">
        <v>187</v>
      </c>
      <c r="F1087" s="301">
        <v>1.1136918587338455E-2</v>
      </c>
      <c r="G1087" s="14">
        <v>49.696969696969703</v>
      </c>
      <c r="H1087" s="2">
        <v>338</v>
      </c>
      <c r="I1087" s="301">
        <v>1.9206728037276962E-2</v>
      </c>
      <c r="J1087" s="14">
        <v>99.393936199999999</v>
      </c>
      <c r="K1087" s="301">
        <v>-0.1796116504854369</v>
      </c>
      <c r="L1087" s="2">
        <v>525</v>
      </c>
      <c r="M1087" s="301">
        <v>1.2473567915607404E-2</v>
      </c>
      <c r="N1087" s="2">
        <v>95.151515151515099</v>
      </c>
      <c r="O1087" s="2">
        <v>392</v>
      </c>
      <c r="P1087" s="301">
        <v>9.0826942236845159E-3</v>
      </c>
      <c r="Q1087" s="14">
        <v>71.515151515151501</v>
      </c>
      <c r="R1087" s="2">
        <v>432</v>
      </c>
      <c r="S1087" s="301">
        <v>9.7124485712358644E-3</v>
      </c>
      <c r="T1087" s="14">
        <v>107.272728</v>
      </c>
      <c r="U1087" s="301">
        <v>-0.17714285714285713</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1930</v>
      </c>
      <c r="B1088" s="2">
        <v>748</v>
      </c>
      <c r="C1088" s="301">
        <v>4.717159614050577E-2</v>
      </c>
      <c r="D1088" s="2">
        <v>104.84848484848401</v>
      </c>
      <c r="E1088" s="2">
        <v>913</v>
      </c>
      <c r="F1088" s="301">
        <v>5.4374367220534812E-2</v>
      </c>
      <c r="G1088" s="14">
        <v>123.030303030303</v>
      </c>
      <c r="H1088" s="2">
        <v>889</v>
      </c>
      <c r="I1088" s="301">
        <v>5.0517104216388227E-2</v>
      </c>
      <c r="J1088" s="14">
        <v>155.75756799999999</v>
      </c>
      <c r="K1088" s="301">
        <v>0.18850267379679145</v>
      </c>
      <c r="L1088" s="2">
        <v>1506</v>
      </c>
      <c r="M1088" s="301">
        <v>3.5781320535056664E-2</v>
      </c>
      <c r="N1088" s="2">
        <v>162.42424242424201</v>
      </c>
      <c r="O1088" s="2">
        <v>1963</v>
      </c>
      <c r="P1088" s="301">
        <v>4.5482981533399754E-2</v>
      </c>
      <c r="Q1088" s="14">
        <v>177.575757575757</v>
      </c>
      <c r="R1088" s="2">
        <v>1835</v>
      </c>
      <c r="S1088" s="301">
        <v>4.1255423907911599E-2</v>
      </c>
      <c r="T1088" s="14">
        <v>171.515152</v>
      </c>
      <c r="U1088" s="301">
        <v>0.21845949535192563</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1926</v>
      </c>
      <c r="B1089" s="2">
        <v>691</v>
      </c>
      <c r="C1089" s="301">
        <v>4.3576969161884339E-2</v>
      </c>
      <c r="D1089" s="2">
        <v>105.454545454545</v>
      </c>
      <c r="E1089" s="2">
        <v>913</v>
      </c>
      <c r="F1089" s="301">
        <v>5.4374367220534812E-2</v>
      </c>
      <c r="G1089" s="14">
        <v>123.030303030303</v>
      </c>
      <c r="H1089" s="2">
        <v>889</v>
      </c>
      <c r="I1089" s="301">
        <v>5.0517104216388227E-2</v>
      </c>
      <c r="J1089" s="14">
        <v>155.75756799999999</v>
      </c>
      <c r="K1089" s="301">
        <v>0.2865412445730825</v>
      </c>
      <c r="L1089" s="2">
        <v>1414</v>
      </c>
      <c r="M1089" s="301">
        <v>3.3595476252702608E-2</v>
      </c>
      <c r="N1089" s="2">
        <v>158.18181818181799</v>
      </c>
      <c r="O1089" s="2">
        <v>1896</v>
      </c>
      <c r="P1089" s="301">
        <v>4.3930582265576126E-2</v>
      </c>
      <c r="Q1089" s="14">
        <v>180.60606060606</v>
      </c>
      <c r="R1089" s="2">
        <v>1786</v>
      </c>
      <c r="S1089" s="301">
        <v>4.0153780435711238E-2</v>
      </c>
      <c r="T1089" s="14">
        <v>170.909088</v>
      </c>
      <c r="U1089" s="301">
        <v>0.26308345120226306</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1927</v>
      </c>
      <c r="B1090" s="2">
        <v>0</v>
      </c>
      <c r="C1090" s="301">
        <v>0</v>
      </c>
      <c r="D1090" s="2">
        <v>80</v>
      </c>
      <c r="E1090" s="2">
        <v>0</v>
      </c>
      <c r="F1090" s="301">
        <v>0</v>
      </c>
      <c r="G1090" s="14">
        <v>16.969696969696901</v>
      </c>
      <c r="H1090" s="2">
        <v>0</v>
      </c>
      <c r="I1090" s="301">
        <v>0</v>
      </c>
      <c r="J1090" s="14">
        <v>18.787877999999999</v>
      </c>
      <c r="L1090" s="2">
        <v>21</v>
      </c>
      <c r="M1090" s="301">
        <v>4.9894271662429609E-4</v>
      </c>
      <c r="N1090" s="2">
        <v>18.181818181818102</v>
      </c>
      <c r="O1090" s="2">
        <v>52</v>
      </c>
      <c r="P1090" s="301">
        <v>1.2048471929377417E-3</v>
      </c>
      <c r="Q1090" s="14">
        <v>39.393939393939398</v>
      </c>
      <c r="R1090" s="2">
        <v>49</v>
      </c>
      <c r="S1090" s="301">
        <v>1.1016434722003641E-3</v>
      </c>
      <c r="T1090" s="14">
        <v>35.757576</v>
      </c>
      <c r="U1090" s="301">
        <v>1.3333333333333333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1928</v>
      </c>
      <c r="B1091" s="2">
        <v>57</v>
      </c>
      <c r="C1091" s="301">
        <v>3.5946269786214292E-3</v>
      </c>
      <c r="D1091" s="2">
        <v>30.909090909090899</v>
      </c>
      <c r="E1091" s="2">
        <v>0</v>
      </c>
      <c r="F1091" s="301">
        <v>0</v>
      </c>
      <c r="G1091" s="14">
        <v>16.969696969696901</v>
      </c>
      <c r="H1091" s="2">
        <v>0</v>
      </c>
      <c r="I1091" s="301">
        <v>0</v>
      </c>
      <c r="J1091" s="14">
        <v>18.787877999999999</v>
      </c>
      <c r="K1091" s="301">
        <v>-1</v>
      </c>
      <c r="L1091" s="2">
        <v>71</v>
      </c>
      <c r="M1091" s="301">
        <v>1.6869015657297631E-3</v>
      </c>
      <c r="N1091" s="2">
        <v>34.545454545454497</v>
      </c>
      <c r="O1091" s="2">
        <v>15</v>
      </c>
      <c r="P1091" s="301">
        <v>3.4755207488588709E-4</v>
      </c>
      <c r="Q1091" s="14">
        <v>13.9393939393939</v>
      </c>
      <c r="R1091" s="2">
        <v>0</v>
      </c>
      <c r="S1091" s="301">
        <v>0</v>
      </c>
      <c r="T1091" s="14">
        <v>18.787877999999999</v>
      </c>
      <c r="U1091" s="301">
        <v>-1</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1931</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1706</v>
      </c>
      <c r="C1094" s="304"/>
      <c r="D1094" s="304" t="s">
        <v>1707</v>
      </c>
      <c r="E1094" s="304" t="s">
        <v>1706</v>
      </c>
      <c r="F1094" s="304"/>
      <c r="G1094" s="304" t="s">
        <v>1707</v>
      </c>
      <c r="H1094" s="304" t="s">
        <v>1706</v>
      </c>
      <c r="I1094" s="304"/>
      <c r="J1094" s="304" t="s">
        <v>1707</v>
      </c>
      <c r="K1094" t="s">
        <v>172</v>
      </c>
      <c r="L1094" s="304" t="s">
        <v>1706</v>
      </c>
      <c r="M1094" s="304"/>
      <c r="N1094" s="304" t="s">
        <v>1707</v>
      </c>
      <c r="O1094" s="304" t="s">
        <v>1706</v>
      </c>
      <c r="P1094" s="304"/>
      <c r="Q1094" s="304" t="s">
        <v>1707</v>
      </c>
      <c r="R1094" s="304" t="s">
        <v>1706</v>
      </c>
      <c r="S1094" s="304"/>
      <c r="T1094" s="304" t="s">
        <v>1707</v>
      </c>
      <c r="U1094" t="s">
        <v>172</v>
      </c>
      <c r="V1094" s="207" t="s">
        <v>1706</v>
      </c>
      <c r="W1094" s="207"/>
      <c r="X1094" s="207" t="s">
        <v>1707</v>
      </c>
      <c r="Y1094" s="207" t="s">
        <v>1706</v>
      </c>
      <c r="Z1094" s="207"/>
      <c r="AA1094" s="207" t="s">
        <v>1707</v>
      </c>
      <c r="AB1094" s="207" t="s">
        <v>1706</v>
      </c>
      <c r="AC1094" s="207"/>
      <c r="AD1094" s="207" t="s">
        <v>1707</v>
      </c>
      <c r="AE1094" t="s">
        <v>172</v>
      </c>
    </row>
    <row r="1095" spans="1:31" x14ac:dyDescent="0.3">
      <c r="A1095" t="s">
        <v>174</v>
      </c>
      <c r="B1095" s="2">
        <v>17598</v>
      </c>
      <c r="C1095" t="s">
        <v>172</v>
      </c>
      <c r="D1095" s="2">
        <v>336.36363636363598</v>
      </c>
      <c r="E1095" s="2">
        <v>17894</v>
      </c>
      <c r="F1095" t="s">
        <v>172</v>
      </c>
      <c r="G1095" s="14">
        <v>348.48484848484799</v>
      </c>
      <c r="H1095" s="2">
        <v>18713</v>
      </c>
      <c r="I1095" t="s">
        <v>172</v>
      </c>
      <c r="J1095" s="14">
        <v>327.27273600000001</v>
      </c>
      <c r="K1095" s="301">
        <v>6.3359472667348565E-2</v>
      </c>
      <c r="L1095" s="2">
        <v>48686</v>
      </c>
      <c r="M1095" t="s">
        <v>172</v>
      </c>
      <c r="N1095" s="2">
        <v>206.666666666666</v>
      </c>
      <c r="O1095" s="2">
        <v>49704</v>
      </c>
      <c r="P1095" t="s">
        <v>172</v>
      </c>
      <c r="Q1095" s="14">
        <v>125.454545454545</v>
      </c>
      <c r="R1095" s="2">
        <v>50480</v>
      </c>
      <c r="S1095" t="s">
        <v>172</v>
      </c>
      <c r="T1095" s="14">
        <v>109.090912</v>
      </c>
      <c r="U1095" s="301">
        <v>3.6848375302961839E-2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1551</v>
      </c>
      <c r="B1096" s="2">
        <v>12609</v>
      </c>
      <c r="C1096" s="301">
        <v>0.71650187521309239</v>
      </c>
      <c r="D1096" s="2">
        <v>323.636363636363</v>
      </c>
      <c r="E1096" s="2">
        <v>12769</v>
      </c>
      <c r="F1096" s="301">
        <v>0.7135911478707947</v>
      </c>
      <c r="G1096" s="14">
        <v>321.21212121212102</v>
      </c>
      <c r="H1096" s="2">
        <v>13861</v>
      </c>
      <c r="I1096" s="301">
        <v>0.74071501095495107</v>
      </c>
      <c r="J1096" s="14">
        <v>397.57574499999998</v>
      </c>
      <c r="K1096" s="301">
        <v>9.9294154968673165E-2</v>
      </c>
      <c r="L1096" s="2">
        <v>38762</v>
      </c>
      <c r="M1096" s="301">
        <v>0.79616316805652554</v>
      </c>
      <c r="N1096" s="2">
        <v>407.87878787878702</v>
      </c>
      <c r="O1096" s="2">
        <v>40173</v>
      </c>
      <c r="P1096" s="301">
        <v>0.8082448092708836</v>
      </c>
      <c r="Q1096" s="14">
        <v>390.30303030303003</v>
      </c>
      <c r="R1096" s="2">
        <v>40658</v>
      </c>
      <c r="S1096" s="301">
        <v>0.80542789223454836</v>
      </c>
      <c r="T1096" s="14">
        <v>392.72726399999999</v>
      </c>
      <c r="U1096" s="301">
        <v>4.8913884732469944E-2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1552</v>
      </c>
      <c r="B1097" s="2">
        <v>334</v>
      </c>
      <c r="C1097" s="301">
        <v>1.8979429480622798E-2</v>
      </c>
      <c r="D1097" s="2">
        <v>66.6666666666666</v>
      </c>
      <c r="E1097" s="2">
        <v>511</v>
      </c>
      <c r="F1097" s="301">
        <v>2.8557058231809544E-2</v>
      </c>
      <c r="G1097" s="14">
        <v>104.84848484848401</v>
      </c>
      <c r="H1097" s="2">
        <v>350</v>
      </c>
      <c r="I1097" s="301">
        <v>1.8703575054774754E-2</v>
      </c>
      <c r="J1097" s="14">
        <v>120</v>
      </c>
      <c r="K1097" s="301">
        <v>4.790419161676647E-2</v>
      </c>
      <c r="L1097" s="2">
        <v>657</v>
      </c>
      <c r="M1097" s="301">
        <v>1.3494639115967629E-2</v>
      </c>
      <c r="N1097" s="2">
        <v>99.393939393939405</v>
      </c>
      <c r="O1097" s="2">
        <v>867</v>
      </c>
      <c r="P1097" s="301">
        <v>1.7443264123611781E-2</v>
      </c>
      <c r="Q1097" s="14">
        <v>128.48484848484799</v>
      </c>
      <c r="R1097" s="2">
        <v>817</v>
      </c>
      <c r="S1097" s="301">
        <v>1.6184627575277336E-2</v>
      </c>
      <c r="T1097" s="14">
        <v>148.484848</v>
      </c>
      <c r="U1097" s="301">
        <v>0.24353120243531201</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1553</v>
      </c>
      <c r="B1098" s="2">
        <v>687</v>
      </c>
      <c r="C1098" s="301">
        <v>3.9038527105352883E-2</v>
      </c>
      <c r="D1098" s="2">
        <v>134.54545454545399</v>
      </c>
      <c r="E1098" s="2">
        <v>648</v>
      </c>
      <c r="F1098" s="301">
        <v>3.6213255839946348E-2</v>
      </c>
      <c r="G1098" s="14">
        <v>120.60606060606</v>
      </c>
      <c r="H1098" s="2">
        <v>741</v>
      </c>
      <c r="I1098" s="301">
        <v>3.9598140330251698E-2</v>
      </c>
      <c r="J1098" s="14">
        <v>183.03030000000001</v>
      </c>
      <c r="K1098" s="301">
        <v>7.8602620087336247E-2</v>
      </c>
      <c r="L1098" s="2">
        <v>1133</v>
      </c>
      <c r="M1098" s="301">
        <v>2.3271577044735654E-2</v>
      </c>
      <c r="N1098" s="2">
        <v>159.39393939393901</v>
      </c>
      <c r="O1098" s="2">
        <v>879</v>
      </c>
      <c r="P1098" s="301">
        <v>1.7684693384838242E-2</v>
      </c>
      <c r="Q1098" s="14">
        <v>152.72727272727201</v>
      </c>
      <c r="R1098" s="2">
        <v>965</v>
      </c>
      <c r="S1098" s="301">
        <v>1.9116481774960382E-2</v>
      </c>
      <c r="T1098" s="14">
        <v>206.060608</v>
      </c>
      <c r="U1098" s="301">
        <v>-0.14827890556045895</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1554</v>
      </c>
      <c r="B1099" s="2">
        <v>1550</v>
      </c>
      <c r="C1099" s="301">
        <v>8.8078190703489032E-2</v>
      </c>
      <c r="D1099" s="2">
        <v>165.45454545454501</v>
      </c>
      <c r="E1099" s="2">
        <v>2063</v>
      </c>
      <c r="F1099" s="301">
        <v>0.11529004135464402</v>
      </c>
      <c r="G1099" s="14">
        <v>215.75757575757501</v>
      </c>
      <c r="H1099" s="2">
        <v>1364</v>
      </c>
      <c r="I1099" s="301">
        <v>7.289050392775076E-2</v>
      </c>
      <c r="J1099" s="14">
        <v>214.545456</v>
      </c>
      <c r="K1099" s="301">
        <v>-0.12</v>
      </c>
      <c r="L1099" s="2">
        <v>2259</v>
      </c>
      <c r="M1099" s="301">
        <v>4.6399375590518835E-2</v>
      </c>
      <c r="N1099" s="2">
        <v>198.78787878787799</v>
      </c>
      <c r="O1099" s="2">
        <v>2534</v>
      </c>
      <c r="P1099" s="301">
        <v>5.0981812328987609E-2</v>
      </c>
      <c r="Q1099" s="14">
        <v>232.72727272727201</v>
      </c>
      <c r="R1099" s="2">
        <v>1885</v>
      </c>
      <c r="S1099" s="301">
        <v>3.7341521394611728E-2</v>
      </c>
      <c r="T1099" s="14">
        <v>232.72728000000001</v>
      </c>
      <c r="U1099" s="301">
        <v>-0.16555998229305002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1555</v>
      </c>
      <c r="B1100" s="2">
        <v>954</v>
      </c>
      <c r="C1100" s="301">
        <v>5.4210705762018412E-2</v>
      </c>
      <c r="D1100" s="2">
        <v>141.81818181818099</v>
      </c>
      <c r="E1100" s="2">
        <v>707</v>
      </c>
      <c r="F1100" s="301">
        <v>3.9510450430311837E-2</v>
      </c>
      <c r="G1100" s="14">
        <v>100.60606060606</v>
      </c>
      <c r="H1100" s="2">
        <v>859</v>
      </c>
      <c r="I1100" s="301">
        <v>4.5903917063004326E-2</v>
      </c>
      <c r="J1100" s="14">
        <v>138.18182400000001</v>
      </c>
      <c r="K1100" s="301">
        <v>-9.9580712788259959E-2</v>
      </c>
      <c r="L1100" s="2">
        <v>1330</v>
      </c>
      <c r="M1100" s="301">
        <v>2.7317914800969477E-2</v>
      </c>
      <c r="N1100" s="2">
        <v>169.09090909090901</v>
      </c>
      <c r="O1100" s="2">
        <v>945</v>
      </c>
      <c r="P1100" s="301">
        <v>1.9012554321583774E-2</v>
      </c>
      <c r="Q1100" s="14">
        <v>131.51515151515099</v>
      </c>
      <c r="R1100" s="2">
        <v>1205</v>
      </c>
      <c r="S1100" s="301">
        <v>2.3870839936608559E-2</v>
      </c>
      <c r="T1100" s="14">
        <v>163.03030000000001</v>
      </c>
      <c r="U1100" s="301">
        <v>-9.3984962406015032E-2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1556</v>
      </c>
      <c r="B1101" s="2">
        <v>230</v>
      </c>
      <c r="C1101" s="301">
        <v>1.3069667007614501E-2</v>
      </c>
      <c r="D1101" s="2">
        <v>64.848484848484802</v>
      </c>
      <c r="E1101" s="2">
        <v>200</v>
      </c>
      <c r="F1101" s="301">
        <v>1.1176930814798256E-2</v>
      </c>
      <c r="G1101" s="14">
        <v>58.787878787878803</v>
      </c>
      <c r="H1101" s="2">
        <v>534</v>
      </c>
      <c r="I1101" s="301">
        <v>2.8536311654999199E-2</v>
      </c>
      <c r="J1101" s="14">
        <v>120</v>
      </c>
      <c r="K1101" s="301">
        <v>1.3217391304347825</v>
      </c>
      <c r="L1101" s="2">
        <v>257</v>
      </c>
      <c r="M1101" s="301">
        <v>5.2787248901121474E-3</v>
      </c>
      <c r="N1101" s="2">
        <v>66.060606060606005</v>
      </c>
      <c r="O1101" s="2">
        <v>234</v>
      </c>
      <c r="P1101" s="301">
        <v>4.7078705939159827E-3</v>
      </c>
      <c r="Q1101" s="14">
        <v>61.818181818181799</v>
      </c>
      <c r="R1101" s="2">
        <v>622</v>
      </c>
      <c r="S1101" s="301">
        <v>1.2321711568938193E-2</v>
      </c>
      <c r="T1101" s="14">
        <v>129.69697600000001</v>
      </c>
      <c r="U1101" s="301">
        <v>1.4202334630350195</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1557</v>
      </c>
      <c r="B1102" s="2">
        <v>197</v>
      </c>
      <c r="C1102" s="301">
        <v>1.1194453915217638E-2</v>
      </c>
      <c r="D1102" s="2">
        <v>54.545454545454497</v>
      </c>
      <c r="E1102" s="2">
        <v>139</v>
      </c>
      <c r="F1102" s="301">
        <v>7.7679669162847879E-3</v>
      </c>
      <c r="G1102" s="14">
        <v>39.393939393939398</v>
      </c>
      <c r="H1102" s="2">
        <v>481</v>
      </c>
      <c r="I1102" s="301">
        <v>2.5704056003847592E-2</v>
      </c>
      <c r="J1102" s="14">
        <v>176.363632</v>
      </c>
      <c r="K1102" s="301">
        <v>1.4416243654822336</v>
      </c>
      <c r="L1102" s="2">
        <v>311</v>
      </c>
      <c r="M1102" s="301">
        <v>6.387873310602637E-3</v>
      </c>
      <c r="N1102" s="2">
        <v>75.757575757575694</v>
      </c>
      <c r="O1102" s="2">
        <v>249</v>
      </c>
      <c r="P1102" s="301">
        <v>5.0096571704490583E-3</v>
      </c>
      <c r="Q1102" s="14">
        <v>56.969696969696898</v>
      </c>
      <c r="R1102" s="2">
        <v>626</v>
      </c>
      <c r="S1102" s="301">
        <v>1.240095087163233E-2</v>
      </c>
      <c r="T1102" s="14">
        <v>190.30302399999999</v>
      </c>
      <c r="U1102" s="301">
        <v>1.0128617363344052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1558</v>
      </c>
      <c r="B1103" s="2">
        <v>574</v>
      </c>
      <c r="C1103" s="301">
        <v>3.261734287987271E-2</v>
      </c>
      <c r="D1103" s="2">
        <v>93.3333333333333</v>
      </c>
      <c r="E1103" s="2">
        <v>519</v>
      </c>
      <c r="F1103" s="301">
        <v>2.9004135464401476E-2</v>
      </c>
      <c r="G1103" s="14">
        <v>82.424242424242394</v>
      </c>
      <c r="H1103" s="2">
        <v>312</v>
      </c>
      <c r="I1103" s="301">
        <v>1.6672901191684925E-2</v>
      </c>
      <c r="J1103" s="14">
        <v>75.757576</v>
      </c>
      <c r="K1103" s="301">
        <v>-0.45644599303135891</v>
      </c>
      <c r="L1103" s="2">
        <v>625</v>
      </c>
      <c r="M1103" s="301">
        <v>1.283736597789919E-2</v>
      </c>
      <c r="N1103" s="2">
        <v>101.818181818181</v>
      </c>
      <c r="O1103" s="2">
        <v>641</v>
      </c>
      <c r="P1103" s="301">
        <v>1.2896346370513439E-2</v>
      </c>
      <c r="Q1103" s="14">
        <v>98.181818181818201</v>
      </c>
      <c r="R1103" s="2">
        <v>350</v>
      </c>
      <c r="S1103" s="301">
        <v>6.9334389857369253E-3</v>
      </c>
      <c r="T1103" s="14">
        <v>79.393936199999999</v>
      </c>
      <c r="U1103" s="301">
        <v>-0.44</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1559</v>
      </c>
      <c r="B1104" s="2">
        <v>347</v>
      </c>
      <c r="C1104" s="301">
        <v>1.9718149789748837E-2</v>
      </c>
      <c r="D1104" s="2">
        <v>60.606060606060602</v>
      </c>
      <c r="E1104" s="2">
        <v>322</v>
      </c>
      <c r="F1104" s="301">
        <v>1.7994858611825194E-2</v>
      </c>
      <c r="G1104" s="14">
        <v>61.212121212121197</v>
      </c>
      <c r="H1104" s="2">
        <v>211</v>
      </c>
      <c r="I1104" s="301">
        <v>1.1275583818735639E-2</v>
      </c>
      <c r="J1104" s="14">
        <v>45.4545441</v>
      </c>
      <c r="K1104" s="301">
        <v>-0.39193083573487031</v>
      </c>
      <c r="L1104" s="2">
        <v>3031</v>
      </c>
      <c r="M1104" s="301">
        <v>6.2256090046419917E-2</v>
      </c>
      <c r="N1104" s="2">
        <v>212.12121212121201</v>
      </c>
      <c r="O1104" s="2">
        <v>3020</v>
      </c>
      <c r="P1104" s="301">
        <v>6.0759697408659261E-2</v>
      </c>
      <c r="Q1104" s="14">
        <v>220.60606060606</v>
      </c>
      <c r="R1104" s="2">
        <v>3240</v>
      </c>
      <c r="S1104" s="301">
        <v>6.418383518225039E-2</v>
      </c>
      <c r="T1104" s="14">
        <v>231.515152</v>
      </c>
      <c r="U1104" s="301">
        <v>6.8954140547674028E-2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1560</v>
      </c>
      <c r="B1105" s="2">
        <v>116</v>
      </c>
      <c r="C1105" s="301">
        <v>6.5916581429707926E-3</v>
      </c>
      <c r="D1105" s="2">
        <v>52.727272727272698</v>
      </c>
      <c r="E1105" s="2">
        <v>16</v>
      </c>
      <c r="F1105" s="301">
        <v>8.9415446518386048E-4</v>
      </c>
      <c r="G1105" s="14">
        <v>15.757575757575699</v>
      </c>
      <c r="H1105" s="2">
        <v>0</v>
      </c>
      <c r="I1105" s="301">
        <v>0</v>
      </c>
      <c r="J1105" s="14">
        <v>18.787877999999999</v>
      </c>
      <c r="K1105" s="301">
        <v>-1</v>
      </c>
      <c r="L1105" s="2">
        <v>321</v>
      </c>
      <c r="M1105" s="301">
        <v>6.5932711662490245E-3</v>
      </c>
      <c r="N1105" s="2">
        <v>65.454545454545396</v>
      </c>
      <c r="O1105" s="2">
        <v>162</v>
      </c>
      <c r="P1105" s="301">
        <v>3.2592950265572188E-3</v>
      </c>
      <c r="Q1105" s="14">
        <v>50.909090909090899</v>
      </c>
      <c r="R1105" s="2">
        <v>112</v>
      </c>
      <c r="S1105" s="301">
        <v>2.2187004754358162E-3</v>
      </c>
      <c r="T1105" s="14">
        <v>35.151516000000001</v>
      </c>
      <c r="U1105" s="301">
        <v>-0.65109034267912769</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1932</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1706</v>
      </c>
      <c r="C1108" s="304"/>
      <c r="D1108" s="304" t="s">
        <v>1707</v>
      </c>
      <c r="E1108" s="304" t="s">
        <v>1706</v>
      </c>
      <c r="F1108" s="304"/>
      <c r="G1108" s="304" t="s">
        <v>1707</v>
      </c>
      <c r="H1108" s="304" t="s">
        <v>1706</v>
      </c>
      <c r="I1108" s="304"/>
      <c r="J1108" s="304" t="s">
        <v>1707</v>
      </c>
      <c r="K1108" t="s">
        <v>172</v>
      </c>
      <c r="L1108" s="304" t="s">
        <v>1706</v>
      </c>
      <c r="M1108" s="304"/>
      <c r="N1108" s="304" t="s">
        <v>1707</v>
      </c>
      <c r="O1108" s="304" t="s">
        <v>1706</v>
      </c>
      <c r="P1108" s="304"/>
      <c r="Q1108" s="304" t="s">
        <v>1707</v>
      </c>
      <c r="R1108" s="304" t="s">
        <v>1706</v>
      </c>
      <c r="S1108" s="304"/>
      <c r="T1108" s="304" t="s">
        <v>1707</v>
      </c>
      <c r="U1108" t="s">
        <v>172</v>
      </c>
      <c r="V1108" s="207" t="s">
        <v>1706</v>
      </c>
      <c r="W1108" s="207"/>
      <c r="X1108" s="207" t="s">
        <v>1707</v>
      </c>
      <c r="Y1108" s="207" t="s">
        <v>1706</v>
      </c>
      <c r="Z1108" s="207"/>
      <c r="AA1108" s="207" t="s">
        <v>1707</v>
      </c>
      <c r="AB1108" s="207" t="s">
        <v>1706</v>
      </c>
      <c r="AC1108" s="207"/>
      <c r="AD1108" s="207" t="s">
        <v>1707</v>
      </c>
      <c r="AE1108" t="s">
        <v>172</v>
      </c>
    </row>
    <row r="1109" spans="1:31" x14ac:dyDescent="0.3">
      <c r="A1109" t="s">
        <v>174</v>
      </c>
      <c r="B1109" s="2">
        <v>15857</v>
      </c>
      <c r="C1109" t="s">
        <v>172</v>
      </c>
      <c r="D1109" s="2">
        <v>297.575757575757</v>
      </c>
      <c r="E1109" s="2">
        <v>16791</v>
      </c>
      <c r="F1109" t="s">
        <v>172</v>
      </c>
      <c r="G1109" s="14">
        <v>318.18181818181802</v>
      </c>
      <c r="H1109" s="2">
        <v>17598</v>
      </c>
      <c r="I1109" t="s">
        <v>172</v>
      </c>
      <c r="J1109" s="14">
        <v>315.75756799999999</v>
      </c>
      <c r="K1109" s="301">
        <v>0.1097937819259633</v>
      </c>
      <c r="L1109" s="2">
        <v>42089</v>
      </c>
      <c r="M1109" t="s">
        <v>172</v>
      </c>
      <c r="N1109" s="2">
        <v>393.33333333333297</v>
      </c>
      <c r="O1109" s="2">
        <v>43159</v>
      </c>
      <c r="P1109" t="s">
        <v>172</v>
      </c>
      <c r="Q1109" s="14">
        <v>457.575757575757</v>
      </c>
      <c r="R1109" s="2">
        <v>44479</v>
      </c>
      <c r="S1109" t="s">
        <v>172</v>
      </c>
      <c r="T1109" s="14">
        <v>306.06060000000002</v>
      </c>
      <c r="U1109" s="301">
        <v>5.6784432987241319E-2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1933</v>
      </c>
      <c r="B1110" s="2">
        <v>8081</v>
      </c>
      <c r="C1110" s="301">
        <v>0.50961720375859243</v>
      </c>
      <c r="D1110" s="2">
        <v>304.84848484848402</v>
      </c>
      <c r="E1110" s="2">
        <v>8016</v>
      </c>
      <c r="F1110" s="301">
        <v>0.47739860639628373</v>
      </c>
      <c r="G1110" s="14">
        <v>314.54545454545399</v>
      </c>
      <c r="H1110" s="2">
        <v>8909</v>
      </c>
      <c r="I1110" s="301">
        <v>0.50625071030798952</v>
      </c>
      <c r="J1110" s="14">
        <v>390.30304000000001</v>
      </c>
      <c r="K1110" s="301">
        <v>0.1024625665140453</v>
      </c>
      <c r="L1110" s="2">
        <v>26535</v>
      </c>
      <c r="M1110" s="301">
        <v>0.6304497612202713</v>
      </c>
      <c r="N1110" s="2">
        <v>493.93939393939399</v>
      </c>
      <c r="O1110" s="2">
        <v>26275</v>
      </c>
      <c r="P1110" s="301">
        <v>0.6087953845084455</v>
      </c>
      <c r="Q1110" s="14">
        <v>477.575757575757</v>
      </c>
      <c r="R1110" s="2">
        <v>29270</v>
      </c>
      <c r="S1110" s="301">
        <v>0.65806335574091146</v>
      </c>
      <c r="T1110" s="14">
        <v>513.33330000000001</v>
      </c>
      <c r="U1110" s="301">
        <v>0.10307141511211608</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1934</v>
      </c>
      <c r="B1111" s="2">
        <v>7675</v>
      </c>
      <c r="C1111" s="301">
        <v>0.48401336948981522</v>
      </c>
      <c r="D1111" s="2">
        <v>291.51515151515099</v>
      </c>
      <c r="E1111" s="2">
        <v>7480</v>
      </c>
      <c r="F1111" s="301">
        <v>0.44547674349353822</v>
      </c>
      <c r="G1111" s="14">
        <v>292.12121212121201</v>
      </c>
      <c r="H1111" s="2">
        <v>8595</v>
      </c>
      <c r="I1111" s="301">
        <v>0.48840777361063759</v>
      </c>
      <c r="J1111" s="14">
        <v>387.27273600000001</v>
      </c>
      <c r="K1111" s="301">
        <v>0.11986970684039087</v>
      </c>
      <c r="L1111" s="2">
        <v>24516</v>
      </c>
      <c r="M1111" s="301">
        <v>0.58247998289339253</v>
      </c>
      <c r="N1111" s="2">
        <v>483.030303030303</v>
      </c>
      <c r="O1111" s="2">
        <v>24254</v>
      </c>
      <c r="P1111" s="301">
        <v>0.56196853495215371</v>
      </c>
      <c r="Q1111" s="14">
        <v>452.72727272727201</v>
      </c>
      <c r="R1111" s="2">
        <v>27226</v>
      </c>
      <c r="S1111" s="301">
        <v>0.61210908518626772</v>
      </c>
      <c r="T1111" s="14">
        <v>506.66665599999999</v>
      </c>
      <c r="U1111" s="301">
        <v>0.11054005547397618</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1935</v>
      </c>
      <c r="B1112" s="2">
        <v>125</v>
      </c>
      <c r="C1112" s="301">
        <v>7.8829539004855904E-3</v>
      </c>
      <c r="D1112" s="2">
        <v>41.818181818181799</v>
      </c>
      <c r="E1112" s="2">
        <v>268</v>
      </c>
      <c r="F1112" s="301">
        <v>1.596093145137276E-2</v>
      </c>
      <c r="G1112" s="14">
        <v>76.969696969696898</v>
      </c>
      <c r="H1112" s="2">
        <v>109</v>
      </c>
      <c r="I1112" s="301">
        <v>6.1938856688260029E-3</v>
      </c>
      <c r="J1112" s="14">
        <v>43.636364</v>
      </c>
      <c r="K1112" s="301">
        <v>-0.128</v>
      </c>
      <c r="L1112" s="2">
        <v>224</v>
      </c>
      <c r="M1112" s="301">
        <v>5.3220556439924922E-3</v>
      </c>
      <c r="N1112" s="2">
        <v>52.727272727272698</v>
      </c>
      <c r="O1112" s="2">
        <v>425</v>
      </c>
      <c r="P1112" s="301">
        <v>9.8473087884334669E-3</v>
      </c>
      <c r="Q1112" s="14">
        <v>88.484848484848399</v>
      </c>
      <c r="R1112" s="2">
        <v>183</v>
      </c>
      <c r="S1112" s="301">
        <v>4.1143011308707482E-3</v>
      </c>
      <c r="T1112" s="14">
        <v>50.9090919</v>
      </c>
      <c r="U1112" s="301">
        <v>-0.18303571428571427</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4601</v>
      </c>
      <c r="B1113" s="2">
        <v>10</v>
      </c>
      <c r="C1113" s="301">
        <v>6.3063631203884719E-4</v>
      </c>
      <c r="D1113" s="2">
        <v>9.0909090909090899</v>
      </c>
      <c r="E1113" s="2">
        <v>0</v>
      </c>
      <c r="F1113" s="301">
        <v>0</v>
      </c>
      <c r="G1113" s="14">
        <v>16.969696969696901</v>
      </c>
      <c r="H1113" s="2">
        <v>0</v>
      </c>
      <c r="I1113" s="301">
        <v>0</v>
      </c>
      <c r="J1113" s="14">
        <v>18.787877999999999</v>
      </c>
      <c r="K1113" s="301">
        <v>-1</v>
      </c>
      <c r="L1113" s="2">
        <v>26</v>
      </c>
      <c r="M1113" s="301">
        <v>6.1773860153484282E-4</v>
      </c>
      <c r="N1113" s="2">
        <v>18.181818181818102</v>
      </c>
      <c r="O1113" s="2">
        <v>7</v>
      </c>
      <c r="P1113" s="301">
        <v>1.6219096828008064E-4</v>
      </c>
      <c r="Q1113" s="14">
        <v>7.8787878787878798</v>
      </c>
      <c r="R1113" s="2">
        <v>56</v>
      </c>
      <c r="S1113" s="301">
        <v>1.2590211110861305E-3</v>
      </c>
      <c r="T1113" s="14">
        <v>48.484848</v>
      </c>
      <c r="U1113" s="301">
        <v>1.1538461538461537</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1936</v>
      </c>
      <c r="B1114" s="2">
        <v>0</v>
      </c>
      <c r="C1114" s="301">
        <v>0</v>
      </c>
      <c r="D1114" s="2">
        <v>80</v>
      </c>
      <c r="E1114" s="2">
        <v>0</v>
      </c>
      <c r="F1114" s="301">
        <v>0</v>
      </c>
      <c r="G1114" s="14">
        <v>16.969696969696901</v>
      </c>
      <c r="H1114" s="2">
        <v>0</v>
      </c>
      <c r="I1114" s="301">
        <v>0</v>
      </c>
      <c r="J1114" s="14">
        <v>18.787877999999999</v>
      </c>
      <c r="L1114" s="2">
        <v>0</v>
      </c>
      <c r="M1114" s="301">
        <v>0</v>
      </c>
      <c r="N1114" s="2">
        <v>80</v>
      </c>
      <c r="O1114" s="2">
        <v>18</v>
      </c>
      <c r="P1114" s="301">
        <v>4.170624898630645E-4</v>
      </c>
      <c r="Q1114" s="14">
        <v>19.393939393939299</v>
      </c>
      <c r="R1114" s="2">
        <v>0</v>
      </c>
      <c r="S1114" s="301">
        <v>0</v>
      </c>
      <c r="T1114" s="14">
        <v>18.787877999999999</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1937</v>
      </c>
      <c r="B1115" s="2">
        <v>0</v>
      </c>
      <c r="C1115" s="301">
        <v>0</v>
      </c>
      <c r="D1115" s="2">
        <v>80</v>
      </c>
      <c r="E1115" s="2">
        <v>0</v>
      </c>
      <c r="F1115" s="301">
        <v>0</v>
      </c>
      <c r="G1115" s="14">
        <v>16.969696969696901</v>
      </c>
      <c r="H1115" s="2">
        <v>0</v>
      </c>
      <c r="I1115" s="301">
        <v>0</v>
      </c>
      <c r="J1115" s="14">
        <v>18.787877999999999</v>
      </c>
      <c r="L1115" s="2">
        <v>0</v>
      </c>
      <c r="M1115" s="301">
        <v>0</v>
      </c>
      <c r="N1115" s="2">
        <v>80</v>
      </c>
      <c r="O1115" s="2">
        <v>16</v>
      </c>
      <c r="P1115" s="301">
        <v>3.7072221321161289E-4</v>
      </c>
      <c r="Q1115" s="14">
        <v>16.363636363636299</v>
      </c>
      <c r="R1115" s="2">
        <v>52</v>
      </c>
      <c r="S1115" s="301">
        <v>1.1690910317228354E-3</v>
      </c>
      <c r="T1115" s="14">
        <v>37.5757561</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1938</v>
      </c>
      <c r="B1116" s="2">
        <v>0</v>
      </c>
      <c r="C1116" s="301">
        <v>0</v>
      </c>
      <c r="D1116" s="2">
        <v>80</v>
      </c>
      <c r="E1116" s="2">
        <v>9</v>
      </c>
      <c r="F1116" s="301">
        <v>5.3600142933714486E-4</v>
      </c>
      <c r="G1116" s="14">
        <v>8.4848484848484809</v>
      </c>
      <c r="H1116" s="2">
        <v>0</v>
      </c>
      <c r="I1116" s="301">
        <v>0</v>
      </c>
      <c r="J1116" s="14">
        <v>18.787877999999999</v>
      </c>
      <c r="L1116" s="2">
        <v>0</v>
      </c>
      <c r="M1116" s="301">
        <v>0</v>
      </c>
      <c r="N1116" s="2">
        <v>80</v>
      </c>
      <c r="O1116" s="2">
        <v>17</v>
      </c>
      <c r="P1116" s="301">
        <v>3.938923515373387E-4</v>
      </c>
      <c r="Q1116" s="14">
        <v>11.5151515151515</v>
      </c>
      <c r="R1116" s="2">
        <v>0</v>
      </c>
      <c r="S1116" s="301">
        <v>0</v>
      </c>
      <c r="T1116" s="14">
        <v>18.787877999999999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1939</v>
      </c>
      <c r="B1117" s="2">
        <v>0</v>
      </c>
      <c r="C1117" s="301">
        <v>0</v>
      </c>
      <c r="D1117" s="2">
        <v>80</v>
      </c>
      <c r="E1117" s="2">
        <v>0</v>
      </c>
      <c r="F1117" s="301">
        <v>0</v>
      </c>
      <c r="G1117" s="14">
        <v>16.969696969696901</v>
      </c>
      <c r="H1117" s="2">
        <v>0</v>
      </c>
      <c r="I1117" s="301">
        <v>0</v>
      </c>
      <c r="J1117" s="14">
        <v>18.787877999999999</v>
      </c>
      <c r="L1117" s="2">
        <v>0</v>
      </c>
      <c r="M1117" s="301">
        <v>0</v>
      </c>
      <c r="N1117" s="2">
        <v>80</v>
      </c>
      <c r="O1117" s="2">
        <v>0</v>
      </c>
      <c r="P1117" s="301">
        <v>0</v>
      </c>
      <c r="Q1117" s="14">
        <v>16.969696969696901</v>
      </c>
      <c r="R1117" s="2">
        <v>0</v>
      </c>
      <c r="S1117" s="301">
        <v>0</v>
      </c>
      <c r="T1117" s="14">
        <v>18.787877999999999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1940</v>
      </c>
      <c r="B1118" s="2">
        <v>0</v>
      </c>
      <c r="C1118" s="301">
        <v>0</v>
      </c>
      <c r="D1118" s="2">
        <v>80</v>
      </c>
      <c r="E1118" s="2">
        <v>13</v>
      </c>
      <c r="F1118" s="301">
        <v>7.7422428682032043E-4</v>
      </c>
      <c r="G1118" s="14">
        <v>12.7272727272727</v>
      </c>
      <c r="H1118" s="2">
        <v>19</v>
      </c>
      <c r="I1118" s="301">
        <v>1.0796681441072849E-3</v>
      </c>
      <c r="J1118" s="14">
        <v>19.393940000000001</v>
      </c>
      <c r="L1118" s="2">
        <v>10</v>
      </c>
      <c r="M1118" s="301">
        <v>2.375917698210934E-4</v>
      </c>
      <c r="N1118" s="2">
        <v>9.6969696969696901</v>
      </c>
      <c r="O1118" s="2">
        <v>13</v>
      </c>
      <c r="P1118" s="301">
        <v>3.0121179823443543E-4</v>
      </c>
      <c r="Q1118" s="14">
        <v>12.7272727272727</v>
      </c>
      <c r="R1118" s="2">
        <v>19</v>
      </c>
      <c r="S1118" s="301">
        <v>4.2716787697565144E-4</v>
      </c>
      <c r="T1118" s="14">
        <v>19.393940000000001</v>
      </c>
      <c r="U1118" s="301">
        <v>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1941</v>
      </c>
      <c r="B1119" s="2">
        <v>216</v>
      </c>
      <c r="C1119" s="301">
        <v>1.3621744340039099E-2</v>
      </c>
      <c r="D1119" s="2">
        <v>38.181818181818102</v>
      </c>
      <c r="E1119" s="2">
        <v>246</v>
      </c>
      <c r="F1119" s="301">
        <v>1.4650705735215293E-2</v>
      </c>
      <c r="G1119" s="14">
        <v>55.757575757575701</v>
      </c>
      <c r="H1119" s="2">
        <v>186</v>
      </c>
      <c r="I1119" s="301">
        <v>1.0569382884418685E-2</v>
      </c>
      <c r="J1119" s="14">
        <v>43.030304000000001</v>
      </c>
      <c r="K1119" s="301">
        <v>-0.1388888888888889</v>
      </c>
      <c r="L1119" s="2">
        <v>1532</v>
      </c>
      <c r="M1119" s="301">
        <v>3.6399059136591506E-2</v>
      </c>
      <c r="N1119" s="2">
        <v>143.030303030303</v>
      </c>
      <c r="O1119" s="2">
        <v>1429</v>
      </c>
      <c r="P1119" s="301">
        <v>3.3110127667462172E-2</v>
      </c>
      <c r="Q1119" s="14">
        <v>140</v>
      </c>
      <c r="R1119" s="2">
        <v>1632</v>
      </c>
      <c r="S1119" s="301">
        <v>3.6691472380224376E-2</v>
      </c>
      <c r="T1119" s="14">
        <v>138.78787199999999</v>
      </c>
      <c r="U1119" s="301">
        <v>6.5274151436031339E-2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1942</v>
      </c>
      <c r="B1120" s="2">
        <v>55</v>
      </c>
      <c r="C1120" s="301">
        <v>3.4684997162136594E-3</v>
      </c>
      <c r="D1120" s="2">
        <v>33.939393939393902</v>
      </c>
      <c r="E1120" s="2">
        <v>0</v>
      </c>
      <c r="F1120" s="301">
        <v>0</v>
      </c>
      <c r="G1120" s="14">
        <v>16.969696969696901</v>
      </c>
      <c r="H1120" s="2">
        <v>0</v>
      </c>
      <c r="I1120" s="301">
        <v>0</v>
      </c>
      <c r="J1120" s="14">
        <v>18.787877999999999</v>
      </c>
      <c r="K1120" s="301">
        <v>-1</v>
      </c>
      <c r="L1120" s="2">
        <v>227</v>
      </c>
      <c r="M1120" s="301">
        <v>5.3933331749388205E-3</v>
      </c>
      <c r="N1120" s="2">
        <v>61.818181818181799</v>
      </c>
      <c r="O1120" s="2">
        <v>96</v>
      </c>
      <c r="P1120" s="301">
        <v>2.224333279269677E-3</v>
      </c>
      <c r="Q1120" s="14">
        <v>38.787878787878697</v>
      </c>
      <c r="R1120" s="2">
        <v>102</v>
      </c>
      <c r="S1120" s="301">
        <v>2.2932170237640235E-3</v>
      </c>
      <c r="T1120" s="14">
        <v>33.939392099999999</v>
      </c>
      <c r="U1120" s="301">
        <v>-0.5506607929515418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1943</v>
      </c>
      <c r="B1121" s="2">
        <v>7776</v>
      </c>
      <c r="C1121" s="301">
        <v>0.49038279624140757</v>
      </c>
      <c r="D1121" s="2">
        <v>295.15151515151501</v>
      </c>
      <c r="E1121" s="2">
        <v>8775</v>
      </c>
      <c r="F1121" s="301">
        <v>0.52260139360371627</v>
      </c>
      <c r="G1121" s="14">
        <v>323.030303030303</v>
      </c>
      <c r="H1121" s="2">
        <v>8689</v>
      </c>
      <c r="I1121" s="301">
        <v>0.49374928969201043</v>
      </c>
      <c r="J1121" s="14">
        <v>351.51513699999998</v>
      </c>
      <c r="K1121" s="301">
        <v>0.11741255144032922</v>
      </c>
      <c r="L1121" s="2">
        <v>15554</v>
      </c>
      <c r="M1121" s="301">
        <v>0.36955023877972865</v>
      </c>
      <c r="N1121" s="2">
        <v>477.575757575757</v>
      </c>
      <c r="O1121" s="2">
        <v>16884</v>
      </c>
      <c r="P1121" s="301">
        <v>0.3912046154915545</v>
      </c>
      <c r="Q1121" s="14">
        <v>432.12121212121201</v>
      </c>
      <c r="R1121" s="2">
        <v>15209</v>
      </c>
      <c r="S1121" s="301">
        <v>0.34193664425908854</v>
      </c>
      <c r="T1121" s="14">
        <v>513.93939999999998</v>
      </c>
      <c r="U1121" s="301">
        <v>-2.218078950752218E-2</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1934</v>
      </c>
      <c r="B1122" s="2">
        <v>3561</v>
      </c>
      <c r="C1122" s="301">
        <v>0.22456959071703347</v>
      </c>
      <c r="D1122" s="2">
        <v>241.21212121212099</v>
      </c>
      <c r="E1122" s="2">
        <v>4450</v>
      </c>
      <c r="F1122" s="301">
        <v>0.26502292895003277</v>
      </c>
      <c r="G1122" s="14">
        <v>301.21212121212102</v>
      </c>
      <c r="H1122" s="2">
        <v>4501</v>
      </c>
      <c r="I1122" s="301">
        <v>0.25576770087509942</v>
      </c>
      <c r="J1122" s="14">
        <v>349.09089999999998</v>
      </c>
      <c r="K1122" s="301">
        <v>0.2639707947205841</v>
      </c>
      <c r="L1122" s="2">
        <v>8968</v>
      </c>
      <c r="M1122" s="301">
        <v>0.21307229917555656</v>
      </c>
      <c r="N1122" s="2">
        <v>380.60606060606</v>
      </c>
      <c r="O1122" s="2">
        <v>10602</v>
      </c>
      <c r="P1122" s="301">
        <v>0.24564980652934498</v>
      </c>
      <c r="Q1122" s="14">
        <v>435.15151515151501</v>
      </c>
      <c r="R1122" s="2">
        <v>8991</v>
      </c>
      <c r="S1122" s="301">
        <v>0.20214033588884642</v>
      </c>
      <c r="T1122" s="14">
        <v>512.12120000000004</v>
      </c>
      <c r="U1122" s="301">
        <v>2.5646743978590546E-3</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1935</v>
      </c>
      <c r="B1123" s="2">
        <v>190</v>
      </c>
      <c r="C1123" s="301">
        <v>1.1982089928738096E-2</v>
      </c>
      <c r="D1123" s="2">
        <v>48.484848484848399</v>
      </c>
      <c r="E1123" s="2">
        <v>243</v>
      </c>
      <c r="F1123" s="301">
        <v>1.4472038592102911E-2</v>
      </c>
      <c r="G1123" s="14">
        <v>71.515151515151501</v>
      </c>
      <c r="H1123" s="2">
        <v>241</v>
      </c>
      <c r="I1123" s="301">
        <v>1.3694738038413456E-2</v>
      </c>
      <c r="J1123" s="14">
        <v>109.696968</v>
      </c>
      <c r="K1123" s="301">
        <v>0.26842105263157895</v>
      </c>
      <c r="L1123" s="2">
        <v>346</v>
      </c>
      <c r="M1123" s="301">
        <v>8.2206752358098319E-3</v>
      </c>
      <c r="N1123" s="2">
        <v>67.272727272727195</v>
      </c>
      <c r="O1123" s="2">
        <v>442</v>
      </c>
      <c r="P1123" s="301">
        <v>1.0241201139970806E-2</v>
      </c>
      <c r="Q1123" s="14">
        <v>96.363636363636402</v>
      </c>
      <c r="R1123" s="2">
        <v>431</v>
      </c>
      <c r="S1123" s="301">
        <v>9.6899660513950405E-3</v>
      </c>
      <c r="T1123" s="14">
        <v>114.545456</v>
      </c>
      <c r="U1123" s="301">
        <v>0.24566473988439305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4601</v>
      </c>
      <c r="B1124" s="2">
        <v>677</v>
      </c>
      <c r="C1124" s="301">
        <v>4.2694078325029958E-2</v>
      </c>
      <c r="D1124" s="2">
        <v>134.54545454545399</v>
      </c>
      <c r="E1124" s="2">
        <v>612</v>
      </c>
      <c r="F1124" s="301">
        <v>3.6448097194925852E-2</v>
      </c>
      <c r="G1124" s="14">
        <v>120</v>
      </c>
      <c r="H1124" s="2">
        <v>587</v>
      </c>
      <c r="I1124" s="301">
        <v>3.3356063188998752E-2</v>
      </c>
      <c r="J1124" s="14">
        <v>167.27271999999999</v>
      </c>
      <c r="K1124" s="301">
        <v>-0.13293943870014771</v>
      </c>
      <c r="L1124" s="2">
        <v>968</v>
      </c>
      <c r="M1124" s="301">
        <v>2.2998883318681843E-2</v>
      </c>
      <c r="N1124" s="2">
        <v>153.333333333333</v>
      </c>
      <c r="O1124" s="2">
        <v>791</v>
      </c>
      <c r="P1124" s="301">
        <v>1.8327579415649112E-2</v>
      </c>
      <c r="Q1124" s="14">
        <v>144.24242424242399</v>
      </c>
      <c r="R1124" s="2">
        <v>681</v>
      </c>
      <c r="S1124" s="301">
        <v>1.531059601160098E-2</v>
      </c>
      <c r="T1124" s="14">
        <v>175.15152</v>
      </c>
      <c r="U1124" s="301">
        <v>-0.29648760330578511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1936</v>
      </c>
      <c r="B1125" s="2">
        <v>1395</v>
      </c>
      <c r="C1125" s="301">
        <v>8.7973765529419184E-2</v>
      </c>
      <c r="D1125" s="2">
        <v>157.575757575757</v>
      </c>
      <c r="E1125" s="2">
        <v>1928</v>
      </c>
      <c r="F1125" s="301">
        <v>0.11482341730689059</v>
      </c>
      <c r="G1125" s="14">
        <v>210.30303030303</v>
      </c>
      <c r="H1125" s="2">
        <v>1364</v>
      </c>
      <c r="I1125" s="301">
        <v>7.7508807819070352E-2</v>
      </c>
      <c r="J1125" s="14">
        <v>214.545456</v>
      </c>
      <c r="K1125" s="301">
        <v>-2.2222222222222223E-2</v>
      </c>
      <c r="L1125" s="2">
        <v>1998</v>
      </c>
      <c r="M1125" s="301">
        <v>4.7470835610254461E-2</v>
      </c>
      <c r="N1125" s="2">
        <v>190.90909090909</v>
      </c>
      <c r="O1125" s="2">
        <v>2308</v>
      </c>
      <c r="P1125" s="301">
        <v>5.3476679255775157E-2</v>
      </c>
      <c r="Q1125" s="14">
        <v>226.06060606060601</v>
      </c>
      <c r="R1125" s="2">
        <v>1859</v>
      </c>
      <c r="S1125" s="301">
        <v>4.1795004384091367E-2</v>
      </c>
      <c r="T1125" s="14">
        <v>233.939392</v>
      </c>
      <c r="U1125" s="301">
        <v>-6.956956956956957E-2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1937</v>
      </c>
      <c r="B1126" s="2">
        <v>839</v>
      </c>
      <c r="C1126" s="301">
        <v>5.2910386580059282E-2</v>
      </c>
      <c r="D1126" s="2">
        <v>132.72727272727201</v>
      </c>
      <c r="E1126" s="2">
        <v>645</v>
      </c>
      <c r="F1126" s="301">
        <v>3.8413435769162049E-2</v>
      </c>
      <c r="G1126" s="14">
        <v>92.121212121212096</v>
      </c>
      <c r="H1126" s="2">
        <v>719</v>
      </c>
      <c r="I1126" s="301">
        <v>4.0856915558586206E-2</v>
      </c>
      <c r="J1126" s="14">
        <v>121.818184</v>
      </c>
      <c r="K1126" s="301">
        <v>-0.14302741358760429</v>
      </c>
      <c r="L1126" s="2">
        <v>1175</v>
      </c>
      <c r="M1126" s="301">
        <v>2.7917032953978474E-2</v>
      </c>
      <c r="N1126" s="2">
        <v>152.12121212121201</v>
      </c>
      <c r="O1126" s="2">
        <v>773</v>
      </c>
      <c r="P1126" s="301">
        <v>1.7910516925786046E-2</v>
      </c>
      <c r="Q1126" s="14">
        <v>104.84848484848401</v>
      </c>
      <c r="R1126" s="2">
        <v>986</v>
      </c>
      <c r="S1126" s="301">
        <v>2.2167764563052226E-2</v>
      </c>
      <c r="T1126" s="14">
        <v>160</v>
      </c>
      <c r="U1126" s="301">
        <v>-0.16085106382978723</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1938</v>
      </c>
      <c r="B1127" s="2">
        <v>203</v>
      </c>
      <c r="C1127" s="301">
        <v>1.2801917134388599E-2</v>
      </c>
      <c r="D1127" s="2">
        <v>61.212121212121197</v>
      </c>
      <c r="E1127" s="2">
        <v>191</v>
      </c>
      <c r="F1127" s="301">
        <v>1.1375141444821631E-2</v>
      </c>
      <c r="G1127" s="2">
        <v>55.757575757575701</v>
      </c>
      <c r="H1127" s="2">
        <v>511</v>
      </c>
      <c r="I1127" s="301">
        <v>2.9037390612569609E-2</v>
      </c>
      <c r="J1127" s="14">
        <v>114.545456</v>
      </c>
      <c r="K1127" s="301">
        <v>1.5172413793103448</v>
      </c>
      <c r="L1127" s="2">
        <v>230</v>
      </c>
      <c r="M1127" s="301">
        <v>5.464610705885148E-3</v>
      </c>
      <c r="N1127" s="2">
        <v>64.848484848484802</v>
      </c>
      <c r="O1127" s="2">
        <v>217</v>
      </c>
      <c r="P1127" s="301">
        <v>5.0279200166825E-3</v>
      </c>
      <c r="Q1127" s="2">
        <v>58.181818181818201</v>
      </c>
      <c r="R1127" s="2">
        <v>599</v>
      </c>
      <c r="S1127" s="301">
        <v>1.3467029384653433E-2</v>
      </c>
      <c r="T1127" s="14">
        <v>124.848488</v>
      </c>
      <c r="U1127" s="301">
        <v>1.6043478260869566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1939</v>
      </c>
      <c r="B1128" s="2">
        <v>197</v>
      </c>
      <c r="C1128" s="301">
        <v>1.2423535347165289E-2</v>
      </c>
      <c r="D1128" s="2">
        <v>54.545454545454497</v>
      </c>
      <c r="E1128" s="2">
        <v>139</v>
      </c>
      <c r="F1128" s="301">
        <v>8.2782442975403488E-3</v>
      </c>
      <c r="G1128" s="14">
        <v>39.393939393939398</v>
      </c>
      <c r="H1128" s="2">
        <v>481</v>
      </c>
      <c r="I1128" s="301">
        <v>2.733265143766337E-2</v>
      </c>
      <c r="J1128" s="14">
        <v>176.363632</v>
      </c>
      <c r="K1128" s="301">
        <v>1.4416243654822336</v>
      </c>
      <c r="L1128" s="2">
        <v>268</v>
      </c>
      <c r="M1128" s="301">
        <v>6.367459431205303E-3</v>
      </c>
      <c r="N1128" s="2">
        <v>61.818181818181799</v>
      </c>
      <c r="O1128" s="2">
        <v>249</v>
      </c>
      <c r="P1128" s="301">
        <v>5.7693644431057256E-3</v>
      </c>
      <c r="Q1128" s="14">
        <v>56.969696969696898</v>
      </c>
      <c r="R1128" s="2">
        <v>626</v>
      </c>
      <c r="S1128" s="301">
        <v>1.4074057420355673E-2</v>
      </c>
      <c r="T1128" s="14">
        <v>190.30302399999999</v>
      </c>
      <c r="U1128" s="301">
        <v>1.335820895522388</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1940</v>
      </c>
      <c r="B1129" s="2">
        <v>574</v>
      </c>
      <c r="C1129" s="301">
        <v>3.619852431102983E-2</v>
      </c>
      <c r="D1129" s="2">
        <v>93.3333333333333</v>
      </c>
      <c r="E1129" s="2">
        <v>506</v>
      </c>
      <c r="F1129" s="301">
        <v>3.0135191471621702E-2</v>
      </c>
      <c r="G1129" s="14">
        <v>83.030303030303003</v>
      </c>
      <c r="H1129" s="2">
        <v>260</v>
      </c>
      <c r="I1129" s="301">
        <v>1.477440618252074E-2</v>
      </c>
      <c r="J1129" s="14">
        <v>64.242424</v>
      </c>
      <c r="K1129" s="301">
        <v>-0.54703832752613235</v>
      </c>
      <c r="L1129" s="2">
        <v>615</v>
      </c>
      <c r="M1129" s="301">
        <v>1.4611893843997244E-2</v>
      </c>
      <c r="N1129" s="2">
        <v>101.212121212121</v>
      </c>
      <c r="O1129" s="2">
        <v>628</v>
      </c>
      <c r="P1129" s="301">
        <v>1.4550846868555805E-2</v>
      </c>
      <c r="Q1129" s="14">
        <v>98.181818181818201</v>
      </c>
      <c r="R1129" s="2">
        <v>298</v>
      </c>
      <c r="S1129" s="301">
        <v>6.6997909125654804E-3</v>
      </c>
      <c r="T1129" s="14">
        <v>68.484849999999994</v>
      </c>
      <c r="U1129" s="301">
        <v>-0.51544715447154477</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1941</v>
      </c>
      <c r="B1130" s="2">
        <v>79</v>
      </c>
      <c r="C1130" s="301">
        <v>4.9820268651068929E-3</v>
      </c>
      <c r="D1130" s="2">
        <v>36.363636363636303</v>
      </c>
      <c r="E1130" s="2">
        <v>45</v>
      </c>
      <c r="F1130" s="301">
        <v>2.6800071466857246E-3</v>
      </c>
      <c r="G1130" s="14">
        <v>23.636363636363601</v>
      </c>
      <c r="H1130" s="2">
        <v>25</v>
      </c>
      <c r="I1130" s="301">
        <v>1.4206159790885328E-3</v>
      </c>
      <c r="J1130" s="14">
        <v>18.787877999999999</v>
      </c>
      <c r="K1130" s="301">
        <v>-0.68354430379746833</v>
      </c>
      <c r="L1130" s="2">
        <v>892</v>
      </c>
      <c r="M1130" s="301">
        <v>2.1193185868041531E-2</v>
      </c>
      <c r="N1130" s="2">
        <v>132.12121212121201</v>
      </c>
      <c r="O1130" s="2">
        <v>808</v>
      </c>
      <c r="P1130" s="301">
        <v>1.872147176718645E-2</v>
      </c>
      <c r="Q1130" s="14">
        <v>124.84848484848401</v>
      </c>
      <c r="R1130" s="2">
        <v>728</v>
      </c>
      <c r="S1130" s="301">
        <v>1.6367274444119697E-2</v>
      </c>
      <c r="T1130" s="14">
        <v>112.727272</v>
      </c>
      <c r="U1130" s="301">
        <v>-0.18385650224215247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1942</v>
      </c>
      <c r="B1131" s="2">
        <v>61</v>
      </c>
      <c r="C1131" s="301">
        <v>3.8468815034369678E-3</v>
      </c>
      <c r="D1131" s="2">
        <v>41.212121212121197</v>
      </c>
      <c r="E1131" s="2">
        <v>16</v>
      </c>
      <c r="F1131" s="301">
        <v>9.5289142993270205E-4</v>
      </c>
      <c r="G1131" s="14">
        <v>15.757575757575699</v>
      </c>
      <c r="H1131" s="2">
        <v>0</v>
      </c>
      <c r="I1131" s="301">
        <v>0</v>
      </c>
      <c r="J1131" s="14">
        <v>18.787877999999999</v>
      </c>
      <c r="K1131" s="301">
        <v>-1</v>
      </c>
      <c r="L1131" s="2">
        <v>94</v>
      </c>
      <c r="M1131" s="301">
        <v>2.233362636318278E-3</v>
      </c>
      <c r="N1131" s="2">
        <v>44.2424242424242</v>
      </c>
      <c r="O1131" s="2">
        <v>66</v>
      </c>
      <c r="P1131" s="301">
        <v>1.5292291294979031E-3</v>
      </c>
      <c r="Q1131" s="14">
        <v>32.727272727272698</v>
      </c>
      <c r="R1131" s="2">
        <v>10</v>
      </c>
      <c r="S1131" s="301">
        <v>2.248251984082376E-4</v>
      </c>
      <c r="T1131" s="14">
        <v>9.0909089999999999</v>
      </c>
      <c r="U1131" s="301">
        <v>-0.8936170212765957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1944</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1706</v>
      </c>
      <c r="C1134" s="304"/>
      <c r="D1134" s="304" t="s">
        <v>1707</v>
      </c>
      <c r="E1134" s="304" t="s">
        <v>1706</v>
      </c>
      <c r="F1134" s="304"/>
      <c r="G1134" s="304" t="s">
        <v>1707</v>
      </c>
      <c r="H1134" s="304" t="s">
        <v>1706</v>
      </c>
      <c r="I1134" s="304"/>
      <c r="J1134" s="304" t="s">
        <v>1707</v>
      </c>
      <c r="K1134" t="s">
        <v>172</v>
      </c>
      <c r="L1134" s="304" t="s">
        <v>1706</v>
      </c>
      <c r="M1134" s="304"/>
      <c r="N1134" s="304" t="s">
        <v>1707</v>
      </c>
      <c r="O1134" s="304" t="s">
        <v>1706</v>
      </c>
      <c r="P1134" s="304"/>
      <c r="Q1134" s="304" t="s">
        <v>1707</v>
      </c>
      <c r="R1134" s="304" t="s">
        <v>1706</v>
      </c>
      <c r="S1134" s="304"/>
      <c r="T1134" s="304" t="s">
        <v>1707</v>
      </c>
      <c r="U1134" t="s">
        <v>172</v>
      </c>
      <c r="V1134" s="207" t="s">
        <v>1706</v>
      </c>
      <c r="W1134" s="207"/>
      <c r="X1134" s="207" t="s">
        <v>1707</v>
      </c>
      <c r="Y1134" s="207" t="s">
        <v>1706</v>
      </c>
      <c r="Z1134" s="207"/>
      <c r="AA1134" s="207" t="s">
        <v>1707</v>
      </c>
      <c r="AB1134" s="207" t="s">
        <v>1706</v>
      </c>
      <c r="AC1134" s="207"/>
      <c r="AD1134" s="207" t="s">
        <v>1707</v>
      </c>
      <c r="AE1134" t="s">
        <v>172</v>
      </c>
    </row>
    <row r="1135" spans="1:31" x14ac:dyDescent="0.3">
      <c r="A1135" t="s">
        <v>174</v>
      </c>
      <c r="B1135" s="2">
        <v>17598</v>
      </c>
      <c r="C1135" t="s">
        <v>172</v>
      </c>
      <c r="D1135" s="2">
        <v>336.36363636363598</v>
      </c>
      <c r="E1135" s="2">
        <v>17894</v>
      </c>
      <c r="F1135" t="s">
        <v>172</v>
      </c>
      <c r="G1135" s="14">
        <v>348.48484848484799</v>
      </c>
      <c r="H1135" s="2">
        <v>18713</v>
      </c>
      <c r="I1135" t="s">
        <v>172</v>
      </c>
      <c r="J1135" s="14">
        <v>327.27273600000001</v>
      </c>
      <c r="K1135" s="301">
        <v>6.3359472667348565E-2</v>
      </c>
      <c r="L1135" s="2">
        <v>48686</v>
      </c>
      <c r="M1135" t="s">
        <v>172</v>
      </c>
      <c r="N1135" s="2">
        <v>206.666666666666</v>
      </c>
      <c r="O1135" s="2">
        <v>49704</v>
      </c>
      <c r="P1135" t="s">
        <v>172</v>
      </c>
      <c r="Q1135" s="14">
        <v>125.454545454545</v>
      </c>
      <c r="R1135" s="2">
        <v>50480</v>
      </c>
      <c r="S1135" t="s">
        <v>172</v>
      </c>
      <c r="T1135" s="14">
        <v>109.090912</v>
      </c>
      <c r="U1135" s="301">
        <v>3.6848375302961839E-2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1945</v>
      </c>
      <c r="B1136" s="2">
        <v>813</v>
      </c>
      <c r="C1136" s="301">
        <v>4.6198431639959084E-2</v>
      </c>
      <c r="D1136" s="2">
        <v>140.60606060606</v>
      </c>
      <c r="E1136" s="2">
        <v>301</v>
      </c>
      <c r="F1136" s="301">
        <v>1.6821280876271376E-2</v>
      </c>
      <c r="G1136" s="14">
        <v>77.575757575757507</v>
      </c>
      <c r="H1136" s="2">
        <v>762</v>
      </c>
      <c r="I1136" s="301">
        <v>4.0720354833538183E-2</v>
      </c>
      <c r="J1136" s="14">
        <v>141.21212800000001</v>
      </c>
      <c r="K1136" s="301">
        <v>-6.273062730627306E-2</v>
      </c>
      <c r="L1136" s="2">
        <v>1351</v>
      </c>
      <c r="M1136" s="301">
        <v>2.7749250297826891E-2</v>
      </c>
      <c r="N1136" s="2">
        <v>198.78787878787799</v>
      </c>
      <c r="O1136" s="2">
        <v>610</v>
      </c>
      <c r="P1136" s="301">
        <v>1.2272654112345082E-2</v>
      </c>
      <c r="Q1136" s="14">
        <v>118.181818181818</v>
      </c>
      <c r="R1136" s="2">
        <v>1158</v>
      </c>
      <c r="S1136" s="301">
        <v>2.2939778129952456E-2</v>
      </c>
      <c r="T1136" s="14">
        <v>164.24243200000001</v>
      </c>
      <c r="U1136" s="301">
        <v>-0.14285714285714285</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1946</v>
      </c>
      <c r="B1137" s="2">
        <v>1049</v>
      </c>
      <c r="C1137" s="301">
        <v>5.9609046482554835E-2</v>
      </c>
      <c r="D1137" s="2">
        <v>146.06060606060601</v>
      </c>
      <c r="E1137" s="2">
        <v>1270</v>
      </c>
      <c r="F1137" s="301">
        <v>7.0973510673968926E-2</v>
      </c>
      <c r="G1137" s="14">
        <v>132.72727272727201</v>
      </c>
      <c r="H1137" s="2">
        <v>1168</v>
      </c>
      <c r="I1137" s="301">
        <v>6.2416501897076898E-2</v>
      </c>
      <c r="J1137" s="14">
        <v>160</v>
      </c>
      <c r="K1137" s="301">
        <v>0.11344137273593899</v>
      </c>
      <c r="L1137" s="2">
        <v>2751</v>
      </c>
      <c r="M1137" s="301">
        <v>5.6504950088321078E-2</v>
      </c>
      <c r="N1137" s="2">
        <v>260</v>
      </c>
      <c r="O1137" s="2">
        <v>2755</v>
      </c>
      <c r="P1137" s="301">
        <v>5.5428134556574922E-2</v>
      </c>
      <c r="Q1137" s="14">
        <v>202.42424242424201</v>
      </c>
      <c r="R1137" s="2">
        <v>2662</v>
      </c>
      <c r="S1137" s="301">
        <v>5.2733755942947699E-2</v>
      </c>
      <c r="T1137" s="14">
        <v>263.63635299999999</v>
      </c>
      <c r="U1137" s="301">
        <v>-3.2351872046528535E-2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1947</v>
      </c>
      <c r="B1138" s="2">
        <v>4095</v>
      </c>
      <c r="C1138" s="301">
        <v>0.23269689737470167</v>
      </c>
      <c r="D1138" s="2">
        <v>284.24242424242402</v>
      </c>
      <c r="E1138" s="2">
        <v>4453</v>
      </c>
      <c r="F1138" s="301">
        <v>0.24885436459148319</v>
      </c>
      <c r="G1138" s="14">
        <v>226.666666666666</v>
      </c>
      <c r="H1138" s="2">
        <v>3816</v>
      </c>
      <c r="I1138" s="301">
        <v>0.20392240688291563</v>
      </c>
      <c r="J1138" s="14">
        <v>320.60604899999998</v>
      </c>
      <c r="K1138" s="301">
        <v>-6.8131868131868126E-2</v>
      </c>
      <c r="L1138" s="2">
        <v>10160</v>
      </c>
      <c r="M1138" s="301">
        <v>0.20868422133672923</v>
      </c>
      <c r="N1138" s="2">
        <v>388.48484848484799</v>
      </c>
      <c r="O1138" s="2">
        <v>10401</v>
      </c>
      <c r="P1138" s="301">
        <v>0.20925881216803477</v>
      </c>
      <c r="Q1138" s="14">
        <v>396.969696969697</v>
      </c>
      <c r="R1138" s="2">
        <v>9558</v>
      </c>
      <c r="S1138" s="301">
        <v>0.18934231378763866</v>
      </c>
      <c r="T1138" s="14">
        <v>441.81817599999999</v>
      </c>
      <c r="U1138" s="301">
        <v>-5.9251968503937005E-2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1948</v>
      </c>
      <c r="B1139" s="2">
        <v>8110</v>
      </c>
      <c r="C1139" s="301">
        <v>0.46084782361632004</v>
      </c>
      <c r="D1139" s="2">
        <v>318.18181818181802</v>
      </c>
      <c r="E1139" s="2">
        <v>8492</v>
      </c>
      <c r="F1139" s="301">
        <v>0.47457248239633398</v>
      </c>
      <c r="G1139" s="14">
        <v>305.45454545454498</v>
      </c>
      <c r="H1139" s="2">
        <v>7863</v>
      </c>
      <c r="I1139" s="301">
        <v>0.42018917330198258</v>
      </c>
      <c r="J1139" s="14">
        <v>370.90910000000002</v>
      </c>
      <c r="K1139" s="301">
        <v>-3.0456226880394576E-2</v>
      </c>
      <c r="L1139" s="2">
        <v>24957</v>
      </c>
      <c r="M1139" s="301">
        <v>0.51261142833668816</v>
      </c>
      <c r="N1139" s="2">
        <v>457.575757575757</v>
      </c>
      <c r="O1139" s="2">
        <v>25788</v>
      </c>
      <c r="P1139" s="301">
        <v>0.5188314823756639</v>
      </c>
      <c r="Q1139" s="14">
        <v>569.09090909090901</v>
      </c>
      <c r="R1139" s="2">
        <v>25080</v>
      </c>
      <c r="S1139" s="301">
        <v>0.49683042789223453</v>
      </c>
      <c r="T1139" s="14">
        <v>620</v>
      </c>
      <c r="U1139" s="301">
        <v>4.9284769804062989E-3</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1949</v>
      </c>
      <c r="B1140" s="2">
        <v>3037</v>
      </c>
      <c r="C1140" s="301">
        <v>0.17257642913967497</v>
      </c>
      <c r="D1140" s="2">
        <v>221.81818181818099</v>
      </c>
      <c r="E1140" s="2">
        <v>3020</v>
      </c>
      <c r="F1140" s="301">
        <v>0.16877165530345367</v>
      </c>
      <c r="G1140" s="14">
        <v>201.81818181818099</v>
      </c>
      <c r="H1140" s="2">
        <v>4656</v>
      </c>
      <c r="I1140" s="301">
        <v>0.24881098701437504</v>
      </c>
      <c r="J1140" s="14">
        <v>330.90910000000002</v>
      </c>
      <c r="K1140" s="301">
        <v>0.53309186697398747</v>
      </c>
      <c r="L1140" s="2">
        <v>8191</v>
      </c>
      <c r="M1140" s="301">
        <v>0.16824138355995563</v>
      </c>
      <c r="N1140" s="2">
        <v>371.51515151515099</v>
      </c>
      <c r="O1140" s="2">
        <v>8885</v>
      </c>
      <c r="P1140" s="301">
        <v>0.17875824883309191</v>
      </c>
      <c r="Q1140" s="14">
        <v>344.24242424242402</v>
      </c>
      <c r="R1140" s="2">
        <v>10506</v>
      </c>
      <c r="S1140" s="301">
        <v>0.20812202852614897</v>
      </c>
      <c r="T1140" s="14">
        <v>467.27273600000001</v>
      </c>
      <c r="U1140" s="301">
        <v>0.28262727383713832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1950</v>
      </c>
      <c r="B1141" s="2">
        <v>494</v>
      </c>
      <c r="C1141" s="301">
        <v>2.8071371746789409E-2</v>
      </c>
      <c r="D1141" s="2">
        <v>114.54545454545401</v>
      </c>
      <c r="E1141" s="2">
        <v>358</v>
      </c>
      <c r="F1141" s="301">
        <v>2.0006706158488877E-2</v>
      </c>
      <c r="G1141" s="14">
        <v>75.757575757575694</v>
      </c>
      <c r="H1141" s="2">
        <v>448</v>
      </c>
      <c r="I1141" s="301">
        <v>2.3940576070111685E-2</v>
      </c>
      <c r="J1141" s="14">
        <v>110.909088</v>
      </c>
      <c r="K1141" s="301">
        <v>-9.3117408906882596E-2</v>
      </c>
      <c r="L1141" s="2">
        <v>1276</v>
      </c>
      <c r="M1141" s="301">
        <v>2.6208766380478987E-2</v>
      </c>
      <c r="N1141" s="2">
        <v>170.90909090909</v>
      </c>
      <c r="O1141" s="2">
        <v>1265</v>
      </c>
      <c r="P1141" s="301">
        <v>2.5450667954289394E-2</v>
      </c>
      <c r="Q1141" s="14">
        <v>166.666666666666</v>
      </c>
      <c r="R1141" s="2">
        <v>1516</v>
      </c>
      <c r="S1141" s="301">
        <v>3.0031695721077653E-2</v>
      </c>
      <c r="T1141" s="14">
        <v>168.484848</v>
      </c>
      <c r="U1141" s="301">
        <v>0.18808777429467086</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1951</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1706</v>
      </c>
      <c r="C1144" s="304"/>
      <c r="D1144" s="304" t="s">
        <v>1707</v>
      </c>
      <c r="E1144" s="304" t="s">
        <v>1706</v>
      </c>
      <c r="F1144" s="304"/>
      <c r="G1144" s="304" t="s">
        <v>1707</v>
      </c>
      <c r="H1144" s="304" t="s">
        <v>1706</v>
      </c>
      <c r="I1144" s="304"/>
      <c r="J1144" s="304" t="s">
        <v>1707</v>
      </c>
      <c r="K1144" t="s">
        <v>172</v>
      </c>
      <c r="L1144" s="304" t="s">
        <v>1706</v>
      </c>
      <c r="M1144" s="304"/>
      <c r="N1144" s="304" t="s">
        <v>1707</v>
      </c>
      <c r="O1144" s="304" t="s">
        <v>1706</v>
      </c>
      <c r="P1144" s="304"/>
      <c r="Q1144" s="304" t="s">
        <v>1707</v>
      </c>
      <c r="R1144" s="304" t="s">
        <v>1706</v>
      </c>
      <c r="S1144" s="304"/>
      <c r="T1144" s="304" t="s">
        <v>1707</v>
      </c>
      <c r="U1144" t="s">
        <v>172</v>
      </c>
      <c r="V1144" s="207" t="s">
        <v>1706</v>
      </c>
      <c r="W1144" s="207"/>
      <c r="X1144" s="207" t="s">
        <v>1707</v>
      </c>
      <c r="Y1144" s="207" t="s">
        <v>1706</v>
      </c>
      <c r="Z1144" s="207"/>
      <c r="AA1144" s="207" t="s">
        <v>1707</v>
      </c>
      <c r="AB1144" s="207" t="s">
        <v>1706</v>
      </c>
      <c r="AC1144" s="207"/>
      <c r="AD1144" s="207" t="s">
        <v>1707</v>
      </c>
      <c r="AE1144" t="s">
        <v>172</v>
      </c>
    </row>
    <row r="1145" spans="1:31" x14ac:dyDescent="0.3">
      <c r="A1145" t="s">
        <v>174</v>
      </c>
      <c r="B1145" s="2">
        <v>15857</v>
      </c>
      <c r="C1145" t="s">
        <v>172</v>
      </c>
      <c r="D1145" s="2">
        <v>297.575757575757</v>
      </c>
      <c r="E1145" s="2">
        <v>16791</v>
      </c>
      <c r="F1145" t="s">
        <v>172</v>
      </c>
      <c r="G1145" s="14">
        <v>318.18181818181802</v>
      </c>
      <c r="H1145" s="2">
        <v>17598</v>
      </c>
      <c r="I1145" t="s">
        <v>172</v>
      </c>
      <c r="J1145" s="14">
        <v>315.75756799999999</v>
      </c>
      <c r="K1145" s="301">
        <v>0.1097937819259633</v>
      </c>
      <c r="L1145" s="2">
        <v>42089</v>
      </c>
      <c r="M1145" t="s">
        <v>172</v>
      </c>
      <c r="N1145" s="2">
        <v>393.33333333333297</v>
      </c>
      <c r="O1145" s="2">
        <v>43159</v>
      </c>
      <c r="P1145" t="s">
        <v>172</v>
      </c>
      <c r="Q1145" s="14">
        <v>457.575757575757</v>
      </c>
      <c r="R1145" s="2">
        <v>44479</v>
      </c>
      <c r="S1145" t="s">
        <v>172</v>
      </c>
      <c r="T1145" s="14">
        <v>306.06060000000002</v>
      </c>
      <c r="U1145" s="301">
        <v>5.6784432987241319E-2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1588</v>
      </c>
      <c r="B1146" s="2">
        <v>8081</v>
      </c>
      <c r="C1146" s="301">
        <v>0.50961720375859243</v>
      </c>
      <c r="D1146" s="2">
        <v>304.84848484848402</v>
      </c>
      <c r="E1146" s="2">
        <v>8016</v>
      </c>
      <c r="F1146" s="301">
        <v>0.47739860639628373</v>
      </c>
      <c r="G1146" s="14">
        <v>314.54545454545399</v>
      </c>
      <c r="H1146" s="2">
        <v>8909</v>
      </c>
      <c r="I1146" s="301">
        <v>0.50625071030798952</v>
      </c>
      <c r="J1146" s="14">
        <v>390.30304000000001</v>
      </c>
      <c r="K1146" s="301">
        <v>0.1024625665140453</v>
      </c>
      <c r="L1146" s="2">
        <v>26535</v>
      </c>
      <c r="M1146" s="301">
        <v>0.6304497612202713</v>
      </c>
      <c r="N1146" s="2">
        <v>493.93939393939399</v>
      </c>
      <c r="O1146" s="2">
        <v>26275</v>
      </c>
      <c r="P1146" s="301">
        <v>0.6087953845084455</v>
      </c>
      <c r="Q1146" s="14">
        <v>477.575757575757</v>
      </c>
      <c r="R1146" s="2">
        <v>29270</v>
      </c>
      <c r="S1146" s="301">
        <v>0.65806335574091146</v>
      </c>
      <c r="T1146" s="14">
        <v>513.33330000000001</v>
      </c>
      <c r="U1146" s="301">
        <v>0.10307141511211608</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1952</v>
      </c>
      <c r="B1147" s="2">
        <v>59</v>
      </c>
      <c r="C1147" s="301">
        <v>3.7207542410291985E-3</v>
      </c>
      <c r="D1147" s="2">
        <v>27.878787878787801</v>
      </c>
      <c r="E1147" s="2">
        <v>78</v>
      </c>
      <c r="F1147" s="301">
        <v>4.6453457209219224E-3</v>
      </c>
      <c r="G1147" s="14">
        <v>36.363636363636303</v>
      </c>
      <c r="H1147" s="2">
        <v>85</v>
      </c>
      <c r="I1147" s="301">
        <v>4.8300943289010115E-3</v>
      </c>
      <c r="J1147" s="14">
        <v>37.5757561</v>
      </c>
      <c r="K1147" s="301">
        <v>0.44067796610169491</v>
      </c>
      <c r="L1147" s="2">
        <v>169</v>
      </c>
      <c r="M1147" s="301">
        <v>4.0153009099764781E-3</v>
      </c>
      <c r="N1147" s="2">
        <v>47.272727272727202</v>
      </c>
      <c r="O1147" s="2">
        <v>129</v>
      </c>
      <c r="P1147" s="301">
        <v>2.9889478440186289E-3</v>
      </c>
      <c r="Q1147" s="14">
        <v>49.090909090909101</v>
      </c>
      <c r="R1147" s="2">
        <v>176</v>
      </c>
      <c r="S1147" s="301">
        <v>3.9569234919849816E-3</v>
      </c>
      <c r="T1147" s="14">
        <v>48.484848</v>
      </c>
      <c r="U1147" s="301">
        <v>4.142011834319527E-2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1953</v>
      </c>
      <c r="B1148" s="2">
        <v>66</v>
      </c>
      <c r="C1148" s="301">
        <v>4.1621996594563915E-3</v>
      </c>
      <c r="D1148" s="2">
        <v>39.393939393939398</v>
      </c>
      <c r="E1148" s="2">
        <v>114</v>
      </c>
      <c r="F1148" s="301">
        <v>6.7893514382705022E-3</v>
      </c>
      <c r="G1148" s="14">
        <v>54.545454545454497</v>
      </c>
      <c r="H1148" s="2">
        <v>35</v>
      </c>
      <c r="I1148" s="301">
        <v>1.988862370723946E-3</v>
      </c>
      <c r="J1148" s="14">
        <v>27.272728000000001</v>
      </c>
      <c r="K1148" s="301">
        <v>-0.46969696969696972</v>
      </c>
      <c r="L1148" s="2">
        <v>641</v>
      </c>
      <c r="M1148" s="301">
        <v>1.5229632445532087E-2</v>
      </c>
      <c r="N1148" s="2">
        <v>114.54545454545401</v>
      </c>
      <c r="O1148" s="2">
        <v>564</v>
      </c>
      <c r="P1148" s="301">
        <v>1.3067958015709353E-2</v>
      </c>
      <c r="Q1148" s="14">
        <v>86.6666666666666</v>
      </c>
      <c r="R1148" s="2">
        <v>589</v>
      </c>
      <c r="S1148" s="301">
        <v>1.3242204186245195E-2</v>
      </c>
      <c r="T1148" s="14">
        <v>107.272728</v>
      </c>
      <c r="U1148" s="301">
        <v>-8.1123244929797195E-2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1954</v>
      </c>
      <c r="B1149" s="2">
        <v>1018</v>
      </c>
      <c r="C1149" s="301">
        <v>6.4198776565554644E-2</v>
      </c>
      <c r="D1149" s="2">
        <v>144.84848484848399</v>
      </c>
      <c r="E1149" s="2">
        <v>991</v>
      </c>
      <c r="F1149" s="301">
        <v>5.9019712941456734E-2</v>
      </c>
      <c r="G1149" s="14">
        <v>106.06060606060601</v>
      </c>
      <c r="H1149" s="2">
        <v>829</v>
      </c>
      <c r="I1149" s="301">
        <v>4.7107625866575749E-2</v>
      </c>
      <c r="J1149" s="14">
        <v>150.909088</v>
      </c>
      <c r="K1149" s="301">
        <v>-0.1856581532416503</v>
      </c>
      <c r="L1149" s="2">
        <v>3317</v>
      </c>
      <c r="M1149" s="301">
        <v>7.8809190049656683E-2</v>
      </c>
      <c r="N1149" s="2">
        <v>218.78787878787799</v>
      </c>
      <c r="O1149" s="2">
        <v>2999</v>
      </c>
      <c r="P1149" s="301">
        <v>6.9487244838851686E-2</v>
      </c>
      <c r="Q1149" s="14">
        <v>207.87878787878699</v>
      </c>
      <c r="R1149" s="2">
        <v>3344</v>
      </c>
      <c r="S1149" s="301">
        <v>7.5181546347714651E-2</v>
      </c>
      <c r="T1149" s="14">
        <v>262.42425500000002</v>
      </c>
      <c r="U1149" s="301">
        <v>8.1398854386493819E-3</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1955</v>
      </c>
      <c r="B1150" s="2">
        <v>4598</v>
      </c>
      <c r="C1150" s="301">
        <v>0.28996657627546196</v>
      </c>
      <c r="D1150" s="2">
        <v>261.21212121212102</v>
      </c>
      <c r="E1150" s="2">
        <v>4611</v>
      </c>
      <c r="F1150" s="301">
        <v>0.27461139896373055</v>
      </c>
      <c r="G1150" s="14">
        <v>238.78787878787799</v>
      </c>
      <c r="H1150" s="2">
        <v>4551</v>
      </c>
      <c r="I1150" s="301">
        <v>0.25860893283327652</v>
      </c>
      <c r="J1150" s="14">
        <v>296.36364700000001</v>
      </c>
      <c r="K1150" s="301">
        <v>-1.0221835580687256E-2</v>
      </c>
      <c r="L1150" s="2">
        <v>15768</v>
      </c>
      <c r="M1150" s="301">
        <v>0.37463470265390009</v>
      </c>
      <c r="N1150" s="2">
        <v>380.60606060606</v>
      </c>
      <c r="O1150" s="2">
        <v>15723</v>
      </c>
      <c r="P1150" s="301">
        <v>0.36430408489538685</v>
      </c>
      <c r="Q1150" s="14">
        <v>460</v>
      </c>
      <c r="R1150" s="2">
        <v>16391</v>
      </c>
      <c r="S1150" s="301">
        <v>0.36851098271094224</v>
      </c>
      <c r="T1150" s="14">
        <v>516.36364700000001</v>
      </c>
      <c r="U1150" s="301">
        <v>3.9510400811770673E-2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1956</v>
      </c>
      <c r="B1151" s="2">
        <v>2000</v>
      </c>
      <c r="C1151" s="301">
        <v>0.12612726240776945</v>
      </c>
      <c r="D1151" s="2">
        <v>169.09090909090901</v>
      </c>
      <c r="E1151" s="2">
        <v>1890</v>
      </c>
      <c r="F1151" s="301">
        <v>0.11256030016080043</v>
      </c>
      <c r="G1151" s="14">
        <v>168.48484848484799</v>
      </c>
      <c r="H1151" s="2">
        <v>2991</v>
      </c>
      <c r="I1151" s="301">
        <v>0.16996249573815206</v>
      </c>
      <c r="J1151" s="14">
        <v>270.90910000000002</v>
      </c>
      <c r="K1151" s="301">
        <v>0.4955</v>
      </c>
      <c r="L1151" s="2">
        <v>5768</v>
      </c>
      <c r="M1151" s="301">
        <v>0.13704293283280666</v>
      </c>
      <c r="N1151" s="2">
        <v>273.33333333333297</v>
      </c>
      <c r="O1151" s="2">
        <v>5931</v>
      </c>
      <c r="P1151" s="301">
        <v>0.13742209040987974</v>
      </c>
      <c r="Q1151" s="14">
        <v>270.30303030303003</v>
      </c>
      <c r="R1151" s="2">
        <v>7599</v>
      </c>
      <c r="S1151" s="301">
        <v>0.17084466827041975</v>
      </c>
      <c r="T1151" s="14">
        <v>416.36364700000001</v>
      </c>
      <c r="U1151" s="301">
        <v>0.31744105409153955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1957</v>
      </c>
      <c r="B1152" s="2">
        <v>340</v>
      </c>
      <c r="C1152" s="301">
        <v>2.1441634609320803E-2</v>
      </c>
      <c r="D1152" s="2">
        <v>86.060606060606005</v>
      </c>
      <c r="E1152" s="2">
        <v>332</v>
      </c>
      <c r="F1152" s="301">
        <v>1.9772497171103569E-2</v>
      </c>
      <c r="G1152" s="14">
        <v>76.363636363636303</v>
      </c>
      <c r="H1152" s="2">
        <v>418</v>
      </c>
      <c r="I1152" s="301">
        <v>2.375269917036027E-2</v>
      </c>
      <c r="J1152" s="14">
        <v>102.42424</v>
      </c>
      <c r="K1152" s="301">
        <v>0.22941176470588234</v>
      </c>
      <c r="L1152" s="2">
        <v>872</v>
      </c>
      <c r="M1152" s="301">
        <v>2.0718002328399345E-2</v>
      </c>
      <c r="N1152" s="2">
        <v>118.787878787878</v>
      </c>
      <c r="O1152" s="2">
        <v>929</v>
      </c>
      <c r="P1152" s="301">
        <v>2.1525058504599272E-2</v>
      </c>
      <c r="Q1152" s="14">
        <v>121.212121212121</v>
      </c>
      <c r="R1152" s="2">
        <v>1171</v>
      </c>
      <c r="S1152" s="301">
        <v>2.6327030733604623E-2</v>
      </c>
      <c r="T1152" s="14">
        <v>145.454544</v>
      </c>
      <c r="U1152" s="301">
        <v>0.34288990825688076</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1591</v>
      </c>
      <c r="B1153" s="2">
        <v>7776</v>
      </c>
      <c r="C1153" s="301">
        <v>0.49038279624140757</v>
      </c>
      <c r="D1153" s="2">
        <v>295.15151515151501</v>
      </c>
      <c r="E1153" s="2">
        <v>8775</v>
      </c>
      <c r="F1153" s="301">
        <v>0.52260139360371627</v>
      </c>
      <c r="G1153" s="14">
        <v>323.030303030303</v>
      </c>
      <c r="H1153" s="2">
        <v>8689</v>
      </c>
      <c r="I1153" s="301">
        <v>0.49374928969201043</v>
      </c>
      <c r="J1153" s="14">
        <v>351.51513699999998</v>
      </c>
      <c r="K1153" s="301">
        <v>0.11741255144032922</v>
      </c>
      <c r="L1153" s="2">
        <v>15554</v>
      </c>
      <c r="M1153" s="301">
        <v>0.36955023877972865</v>
      </c>
      <c r="N1153" s="2">
        <v>477.575757575757</v>
      </c>
      <c r="O1153" s="2">
        <v>16884</v>
      </c>
      <c r="P1153" s="301">
        <v>0.3912046154915545</v>
      </c>
      <c r="Q1153" s="14">
        <v>432.12121212121201</v>
      </c>
      <c r="R1153" s="2">
        <v>15209</v>
      </c>
      <c r="S1153" s="301">
        <v>0.34193664425908854</v>
      </c>
      <c r="T1153" s="14">
        <v>513.93939999999998</v>
      </c>
      <c r="U1153" s="301">
        <v>-2.218078950752218E-2</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1952</v>
      </c>
      <c r="B1154" s="2">
        <v>659</v>
      </c>
      <c r="C1154" s="301">
        <v>4.155893296336003E-2</v>
      </c>
      <c r="D1154" s="2">
        <v>126.06060606060601</v>
      </c>
      <c r="E1154" s="2">
        <v>223</v>
      </c>
      <c r="F1154" s="301">
        <v>1.3280924304687036E-2</v>
      </c>
      <c r="G1154" s="14">
        <v>70.303030303030297</v>
      </c>
      <c r="H1154" s="2">
        <v>608</v>
      </c>
      <c r="I1154" s="301">
        <v>3.4549380611433117E-2</v>
      </c>
      <c r="J1154" s="14">
        <v>130.909088</v>
      </c>
      <c r="K1154" s="301">
        <v>-7.7389984825493169E-2</v>
      </c>
      <c r="L1154" s="2">
        <v>788</v>
      </c>
      <c r="M1154" s="301">
        <v>1.8722231461902161E-2</v>
      </c>
      <c r="N1154" s="2">
        <v>147.87878787878699</v>
      </c>
      <c r="O1154" s="2">
        <v>319</v>
      </c>
      <c r="P1154" s="301">
        <v>7.3912741259065315E-3</v>
      </c>
      <c r="Q1154" s="14">
        <v>81.818181818181799</v>
      </c>
      <c r="R1154" s="2">
        <v>696</v>
      </c>
      <c r="S1154" s="301">
        <v>1.5647833809213335E-2</v>
      </c>
      <c r="T1154" s="14">
        <v>151.515152</v>
      </c>
      <c r="U1154" s="301">
        <v>-0.116751269035533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1953</v>
      </c>
      <c r="B1155" s="2">
        <v>884</v>
      </c>
      <c r="C1155" s="301">
        <v>5.574824998423409E-2</v>
      </c>
      <c r="D1155" s="2">
        <v>135.75757575757501</v>
      </c>
      <c r="E1155" s="2">
        <v>1082</v>
      </c>
      <c r="F1155" s="301">
        <v>6.443928294919897E-2</v>
      </c>
      <c r="G1155" s="14">
        <v>115.151515151515</v>
      </c>
      <c r="H1155" s="2">
        <v>926</v>
      </c>
      <c r="I1155" s="301">
        <v>5.2619615865439257E-2</v>
      </c>
      <c r="J1155" s="14">
        <v>126.666664</v>
      </c>
      <c r="K1155" s="301">
        <v>4.7511312217194568E-2</v>
      </c>
      <c r="L1155" s="2">
        <v>1791</v>
      </c>
      <c r="M1155" s="301">
        <v>4.255268597495783E-2</v>
      </c>
      <c r="N1155" s="2">
        <v>207.272727272727</v>
      </c>
      <c r="O1155" s="2">
        <v>1825</v>
      </c>
      <c r="P1155" s="301">
        <v>4.2285502444449591E-2</v>
      </c>
      <c r="Q1155" s="14">
        <v>170.90909090909</v>
      </c>
      <c r="R1155" s="2">
        <v>1437</v>
      </c>
      <c r="S1155" s="301">
        <v>3.2307381011263743E-2</v>
      </c>
      <c r="T1155" s="14">
        <v>167.27271999999999</v>
      </c>
      <c r="U1155" s="301">
        <v>-0.19765494137353434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1954</v>
      </c>
      <c r="B1156" s="2">
        <v>2751</v>
      </c>
      <c r="C1156" s="301">
        <v>0.17348804944188687</v>
      </c>
      <c r="D1156" s="2">
        <v>212.72727272727201</v>
      </c>
      <c r="E1156" s="2">
        <v>3014</v>
      </c>
      <c r="F1156" s="301">
        <v>0.17950092311357274</v>
      </c>
      <c r="G1156" s="14">
        <v>199.39393939393901</v>
      </c>
      <c r="H1156" s="2">
        <v>2786</v>
      </c>
      <c r="I1156" s="301">
        <v>0.15831344470962611</v>
      </c>
      <c r="J1156" s="14">
        <v>265.45455900000002</v>
      </c>
      <c r="K1156" s="301">
        <v>1.2722646310432569E-2</v>
      </c>
      <c r="L1156" s="2">
        <v>5052</v>
      </c>
      <c r="M1156" s="301">
        <v>0.12003136211361638</v>
      </c>
      <c r="N1156" s="2">
        <v>320</v>
      </c>
      <c r="O1156" s="2">
        <v>5368</v>
      </c>
      <c r="P1156" s="301">
        <v>0.12437730253249613</v>
      </c>
      <c r="Q1156" s="14">
        <v>263.636363636363</v>
      </c>
      <c r="R1156" s="2">
        <v>4756</v>
      </c>
      <c r="S1156" s="301">
        <v>0.1069268643629578</v>
      </c>
      <c r="T1156" s="14">
        <v>292.72726399999999</v>
      </c>
      <c r="U1156" s="301">
        <v>-5.8590657165479017E-2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1955</v>
      </c>
      <c r="B1157" s="2">
        <v>2641</v>
      </c>
      <c r="C1157" s="301">
        <v>0.16655105000945955</v>
      </c>
      <c r="D1157" s="2">
        <v>221.81818181818099</v>
      </c>
      <c r="E1157" s="2">
        <v>3355</v>
      </c>
      <c r="F1157" s="301">
        <v>0.19980942171401345</v>
      </c>
      <c r="G1157" s="14">
        <v>287.27272727272702</v>
      </c>
      <c r="H1157" s="2">
        <v>3000</v>
      </c>
      <c r="I1157" s="301">
        <v>0.17047391749062393</v>
      </c>
      <c r="J1157" s="14">
        <v>322.42425500000002</v>
      </c>
      <c r="K1157" s="301">
        <v>0.13593335857629685</v>
      </c>
      <c r="L1157" s="2">
        <v>6100</v>
      </c>
      <c r="M1157" s="301">
        <v>0.14493097959086698</v>
      </c>
      <c r="N1157" s="2">
        <v>365.45454545454498</v>
      </c>
      <c r="O1157" s="2">
        <v>6934</v>
      </c>
      <c r="P1157" s="301">
        <v>0.16066173915058274</v>
      </c>
      <c r="Q1157" s="14">
        <v>401.21212121212102</v>
      </c>
      <c r="R1157" s="2">
        <v>6093</v>
      </c>
      <c r="S1157" s="301">
        <v>0.13698599339013917</v>
      </c>
      <c r="T1157" s="14">
        <v>435.75756799999999</v>
      </c>
      <c r="U1157" s="301">
        <v>-1.1475409836065574E-3</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1956</v>
      </c>
      <c r="B1158" s="2">
        <v>736</v>
      </c>
      <c r="C1158" s="301">
        <v>4.6414832566059154E-2</v>
      </c>
      <c r="D1158" s="2">
        <v>125.454545454545</v>
      </c>
      <c r="E1158" s="2">
        <v>1075</v>
      </c>
      <c r="F1158" s="301">
        <v>6.4022392948603415E-2</v>
      </c>
      <c r="G1158" s="14">
        <v>140</v>
      </c>
      <c r="H1158" s="2">
        <v>1339</v>
      </c>
      <c r="I1158" s="301">
        <v>7.608819183998182E-2</v>
      </c>
      <c r="J1158" s="14">
        <v>193.939392</v>
      </c>
      <c r="K1158" s="301">
        <v>0.81929347826086951</v>
      </c>
      <c r="L1158" s="2">
        <v>1531</v>
      </c>
      <c r="M1158" s="301">
        <v>3.6375299959609399E-2</v>
      </c>
      <c r="N1158" s="2">
        <v>180</v>
      </c>
      <c r="O1158" s="2">
        <v>2184</v>
      </c>
      <c r="P1158" s="301">
        <v>5.0603582103385156E-2</v>
      </c>
      <c r="Q1158" s="14">
        <v>210.30303030303</v>
      </c>
      <c r="R1158" s="2">
        <v>2011</v>
      </c>
      <c r="S1158" s="301">
        <v>4.5212347399896581E-2</v>
      </c>
      <c r="T1158" s="14">
        <v>239.393936</v>
      </c>
      <c r="U1158" s="301">
        <v>0.31352057478772044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1957</v>
      </c>
      <c r="B1159" s="2">
        <v>105</v>
      </c>
      <c r="C1159" s="301">
        <v>6.6216812764078956E-3</v>
      </c>
      <c r="D1159" s="2">
        <v>53.939393939393902</v>
      </c>
      <c r="E1159" s="2">
        <v>26</v>
      </c>
      <c r="F1159" s="301">
        <v>1.5484485736406409E-3</v>
      </c>
      <c r="G1159" s="14">
        <v>19.393939393939299</v>
      </c>
      <c r="H1159" s="2">
        <v>30</v>
      </c>
      <c r="I1159" s="301">
        <v>1.7047391749062393E-3</v>
      </c>
      <c r="J1159" s="14">
        <v>19.393940000000001</v>
      </c>
      <c r="K1159" s="301">
        <v>-0.7142857142857143</v>
      </c>
      <c r="L1159" s="2">
        <v>292</v>
      </c>
      <c r="M1159" s="301">
        <v>6.9376796787759274E-3</v>
      </c>
      <c r="N1159" s="2">
        <v>78.181818181818201</v>
      </c>
      <c r="O1159" s="2">
        <v>254</v>
      </c>
      <c r="P1159" s="301">
        <v>5.8852151347343539E-3</v>
      </c>
      <c r="Q1159" s="14">
        <v>91.515151515151501</v>
      </c>
      <c r="R1159" s="2">
        <v>216</v>
      </c>
      <c r="S1159" s="301">
        <v>4.8562242856179322E-3</v>
      </c>
      <c r="T1159" s="14">
        <v>64.242424</v>
      </c>
      <c r="U1159" s="301">
        <v>-0.26027397260273971</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1958</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1706</v>
      </c>
      <c r="C1162" s="304"/>
      <c r="D1162" s="304" t="s">
        <v>1707</v>
      </c>
      <c r="E1162" s="304" t="s">
        <v>1706</v>
      </c>
      <c r="F1162" s="304"/>
      <c r="G1162" s="304" t="s">
        <v>1707</v>
      </c>
      <c r="H1162" s="304" t="s">
        <v>1706</v>
      </c>
      <c r="I1162" s="304"/>
      <c r="J1162" s="304" t="s">
        <v>1707</v>
      </c>
      <c r="K1162" t="s">
        <v>172</v>
      </c>
      <c r="L1162" s="304" t="s">
        <v>1706</v>
      </c>
      <c r="M1162" s="304"/>
      <c r="N1162" s="304" t="s">
        <v>1707</v>
      </c>
      <c r="O1162" s="304" t="s">
        <v>1706</v>
      </c>
      <c r="P1162" s="304"/>
      <c r="Q1162" s="304" t="s">
        <v>1707</v>
      </c>
      <c r="R1162" s="304" t="s">
        <v>1706</v>
      </c>
      <c r="S1162" s="304"/>
      <c r="T1162" s="304" t="s">
        <v>1707</v>
      </c>
      <c r="U1162" t="s">
        <v>172</v>
      </c>
      <c r="V1162" s="207" t="s">
        <v>1706</v>
      </c>
      <c r="W1162" s="207"/>
      <c r="X1162" s="207" t="s">
        <v>1707</v>
      </c>
      <c r="Y1162" s="207" t="s">
        <v>1706</v>
      </c>
      <c r="Z1162" s="207"/>
      <c r="AA1162" s="207" t="s">
        <v>1707</v>
      </c>
      <c r="AB1162" s="207" t="s">
        <v>1706</v>
      </c>
      <c r="AC1162" s="207"/>
      <c r="AD1162" s="207" t="s">
        <v>1707</v>
      </c>
      <c r="AE1162" t="s">
        <v>172</v>
      </c>
    </row>
    <row r="1163" spans="1:31" x14ac:dyDescent="0.3">
      <c r="A1163" t="s">
        <v>174</v>
      </c>
      <c r="B1163" s="2">
        <v>15857</v>
      </c>
      <c r="C1163" t="s">
        <v>172</v>
      </c>
      <c r="D1163" s="2">
        <v>297.575757575757</v>
      </c>
      <c r="E1163" s="2">
        <v>16791</v>
      </c>
      <c r="F1163" t="s">
        <v>172</v>
      </c>
      <c r="G1163" s="14">
        <v>318.18181818181802</v>
      </c>
      <c r="H1163" s="2">
        <v>17598</v>
      </c>
      <c r="I1163" t="s">
        <v>172</v>
      </c>
      <c r="J1163" s="14">
        <v>315.75756799999999</v>
      </c>
      <c r="K1163" s="301">
        <v>0.1097937819259633</v>
      </c>
      <c r="L1163" s="2">
        <v>42089</v>
      </c>
      <c r="M1163" t="s">
        <v>172</v>
      </c>
      <c r="N1163" s="2">
        <v>393.33333333333297</v>
      </c>
      <c r="O1163" s="2">
        <v>43159</v>
      </c>
      <c r="P1163" t="s">
        <v>172</v>
      </c>
      <c r="Q1163" s="14">
        <v>457.575757575757</v>
      </c>
      <c r="R1163" s="2">
        <v>44479</v>
      </c>
      <c r="S1163" t="s">
        <v>172</v>
      </c>
      <c r="T1163" s="14">
        <v>306.06060000000002</v>
      </c>
      <c r="U1163" s="301">
        <v>5.6784432987241319E-2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1588</v>
      </c>
      <c r="B1164" s="2">
        <v>8081</v>
      </c>
      <c r="C1164" s="301">
        <v>0.50961720375859243</v>
      </c>
      <c r="D1164" s="2">
        <v>304.84848484848402</v>
      </c>
      <c r="E1164" s="2">
        <v>8016</v>
      </c>
      <c r="F1164" s="301">
        <v>0.47739860639628373</v>
      </c>
      <c r="G1164" s="14">
        <v>314.54545454545399</v>
      </c>
      <c r="H1164" s="2">
        <v>8909</v>
      </c>
      <c r="I1164" s="301">
        <v>0.50625071030798952</v>
      </c>
      <c r="J1164" s="14">
        <v>390.30304000000001</v>
      </c>
      <c r="K1164" s="301">
        <v>0.1024625665140453</v>
      </c>
      <c r="L1164" s="2">
        <v>26535</v>
      </c>
      <c r="M1164" s="301">
        <v>0.6304497612202713</v>
      </c>
      <c r="N1164" s="2">
        <v>493.93939393939399</v>
      </c>
      <c r="O1164" s="2">
        <v>26275</v>
      </c>
      <c r="P1164" s="301">
        <v>0.6087953845084455</v>
      </c>
      <c r="Q1164" s="14">
        <v>477.575757575757</v>
      </c>
      <c r="R1164" s="2">
        <v>29270</v>
      </c>
      <c r="S1164" s="301">
        <v>0.65806335574091146</v>
      </c>
      <c r="T1164" s="14">
        <v>513.33330000000001</v>
      </c>
      <c r="U1164" s="301">
        <v>0.10307141511211608</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1589</v>
      </c>
      <c r="B1165" s="2">
        <v>8053</v>
      </c>
      <c r="C1165" s="301">
        <v>0.50785142208488365</v>
      </c>
      <c r="D1165" s="2">
        <v>304.24242424242402</v>
      </c>
      <c r="E1165" s="2">
        <v>8016</v>
      </c>
      <c r="F1165" s="301">
        <v>0.47739860639628373</v>
      </c>
      <c r="G1165" s="14">
        <v>314.54545454545399</v>
      </c>
      <c r="H1165" s="2">
        <v>8909</v>
      </c>
      <c r="I1165" s="301">
        <v>0.50625071030798952</v>
      </c>
      <c r="J1165" s="14">
        <v>390.30304000000001</v>
      </c>
      <c r="K1165" s="301">
        <v>0.10629579038867502</v>
      </c>
      <c r="L1165" s="2">
        <v>26455</v>
      </c>
      <c r="M1165" s="301">
        <v>0.62854902706170257</v>
      </c>
      <c r="N1165" s="2">
        <v>490.90909090909099</v>
      </c>
      <c r="O1165" s="2">
        <v>26266</v>
      </c>
      <c r="P1165" s="301">
        <v>0.60858685326351403</v>
      </c>
      <c r="Q1165" s="14">
        <v>476.36363636363598</v>
      </c>
      <c r="R1165" s="2">
        <v>29249</v>
      </c>
      <c r="S1165" s="301">
        <v>0.6575912228242542</v>
      </c>
      <c r="T1165" s="14">
        <v>515.75756799999999</v>
      </c>
      <c r="U1165" s="301">
        <v>0.10561330561330562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1959</v>
      </c>
      <c r="B1166" s="2">
        <v>28</v>
      </c>
      <c r="C1166" s="301">
        <v>1.7657816737087721E-3</v>
      </c>
      <c r="D1166" s="2">
        <v>18.7878787878787</v>
      </c>
      <c r="E1166" s="2">
        <v>0</v>
      </c>
      <c r="F1166" s="301">
        <v>0</v>
      </c>
      <c r="G1166" s="14">
        <v>16.969696969696901</v>
      </c>
      <c r="H1166" s="2">
        <v>0</v>
      </c>
      <c r="I1166" s="301">
        <v>0</v>
      </c>
      <c r="J1166" s="14">
        <v>18.787877999999999</v>
      </c>
      <c r="K1166" s="301">
        <v>-1</v>
      </c>
      <c r="L1166" s="2">
        <v>80</v>
      </c>
      <c r="M1166" s="301">
        <v>1.9007341585687472E-3</v>
      </c>
      <c r="N1166" s="2">
        <v>40</v>
      </c>
      <c r="O1166" s="2">
        <v>9</v>
      </c>
      <c r="P1166" s="301">
        <v>2.0853124493153225E-4</v>
      </c>
      <c r="Q1166" s="14">
        <v>8.4848484848484809</v>
      </c>
      <c r="R1166" s="2">
        <v>21</v>
      </c>
      <c r="S1166" s="301">
        <v>4.7213291665729895E-4</v>
      </c>
      <c r="T1166" s="14">
        <v>15.757576</v>
      </c>
      <c r="U1166" s="301">
        <v>-0.73750000000000004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1591</v>
      </c>
      <c r="B1167" s="2">
        <v>7776</v>
      </c>
      <c r="C1167" s="301">
        <v>0.49038279624140757</v>
      </c>
      <c r="D1167" s="2">
        <v>295.15151515151501</v>
      </c>
      <c r="E1167" s="2">
        <v>8775</v>
      </c>
      <c r="F1167" s="301">
        <v>0.52260139360371627</v>
      </c>
      <c r="G1167" s="14">
        <v>323.030303030303</v>
      </c>
      <c r="H1167" s="2">
        <v>8689</v>
      </c>
      <c r="I1167" s="301">
        <v>0.49374928969201043</v>
      </c>
      <c r="J1167" s="14">
        <v>351.51513699999998</v>
      </c>
      <c r="K1167" s="301">
        <v>0.11741255144032922</v>
      </c>
      <c r="L1167" s="2">
        <v>15554</v>
      </c>
      <c r="M1167" s="301">
        <v>0.36955023877972865</v>
      </c>
      <c r="N1167" s="2">
        <v>477.575757575757</v>
      </c>
      <c r="O1167" s="2">
        <v>16884</v>
      </c>
      <c r="P1167" s="301">
        <v>0.3912046154915545</v>
      </c>
      <c r="Q1167" s="14">
        <v>432.12121212121201</v>
      </c>
      <c r="R1167" s="2">
        <v>15209</v>
      </c>
      <c r="S1167" s="301">
        <v>0.34193664425908854</v>
      </c>
      <c r="T1167" s="14">
        <v>513.93939999999998</v>
      </c>
      <c r="U1167" s="301">
        <v>-2.218078950752218E-2</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1589</v>
      </c>
      <c r="B1168" s="2">
        <v>7683</v>
      </c>
      <c r="C1168" s="301">
        <v>0.48451787853944628</v>
      </c>
      <c r="D1168" s="2">
        <v>287.87878787878702</v>
      </c>
      <c r="E1168" s="2">
        <v>8751</v>
      </c>
      <c r="F1168" s="301">
        <v>0.52117205645881726</v>
      </c>
      <c r="G1168" s="14">
        <v>323.030303030303</v>
      </c>
      <c r="H1168" s="2">
        <v>8648</v>
      </c>
      <c r="I1168" s="301">
        <v>0.49141947948630527</v>
      </c>
      <c r="J1168" s="14">
        <v>358.18182400000001</v>
      </c>
      <c r="K1168" s="301">
        <v>0.12560197839385656</v>
      </c>
      <c r="L1168" s="2">
        <v>15419</v>
      </c>
      <c r="M1168" s="301">
        <v>0.36634274988714394</v>
      </c>
      <c r="N1168" s="2">
        <v>469.09090909090901</v>
      </c>
      <c r="O1168" s="2">
        <v>16802</v>
      </c>
      <c r="P1168" s="301">
        <v>0.38930466414884496</v>
      </c>
      <c r="Q1168" s="14">
        <v>432.12121212121201</v>
      </c>
      <c r="R1168" s="2">
        <v>15112</v>
      </c>
      <c r="S1168" s="301">
        <v>0.33975583983452867</v>
      </c>
      <c r="T1168" s="14">
        <v>530.90909999999997</v>
      </c>
      <c r="U1168" s="301">
        <v>-1.9910500032427524E-2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1959</v>
      </c>
      <c r="B1169" s="2">
        <v>93</v>
      </c>
      <c r="C1169" s="301">
        <v>5.8649177019612789E-3</v>
      </c>
      <c r="D1169" s="2">
        <v>50.909090909090899</v>
      </c>
      <c r="E1169" s="2">
        <v>24</v>
      </c>
      <c r="F1169" s="301">
        <v>1.429337144899053E-3</v>
      </c>
      <c r="G1169" s="14">
        <v>20.606060606060598</v>
      </c>
      <c r="H1169" s="2">
        <v>41</v>
      </c>
      <c r="I1169" s="301">
        <v>2.3298102057051936E-3</v>
      </c>
      <c r="J1169" s="14">
        <v>38.787880000000001</v>
      </c>
      <c r="K1169" s="301">
        <v>-0.55913978494623651</v>
      </c>
      <c r="L1169" s="2">
        <v>135</v>
      </c>
      <c r="M1169" s="301">
        <v>3.207488892584761E-3</v>
      </c>
      <c r="N1169" s="2">
        <v>59.393939393939398</v>
      </c>
      <c r="O1169" s="2">
        <v>82</v>
      </c>
      <c r="P1169" s="301">
        <v>1.8999513427095159E-3</v>
      </c>
      <c r="Q1169" s="14">
        <v>33.939393939393902</v>
      </c>
      <c r="R1169" s="2">
        <v>97</v>
      </c>
      <c r="S1169" s="301">
        <v>2.1808044245599048E-3</v>
      </c>
      <c r="T1169" s="14">
        <v>73.939390000000003</v>
      </c>
      <c r="U1169" s="301">
        <v>-0.2814814814814815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1960</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1706</v>
      </c>
      <c r="C1172" s="304"/>
      <c r="D1172" s="304" t="s">
        <v>1707</v>
      </c>
      <c r="E1172" s="304" t="s">
        <v>1706</v>
      </c>
      <c r="F1172" s="304"/>
      <c r="G1172" s="304" t="s">
        <v>1707</v>
      </c>
      <c r="H1172" s="304" t="s">
        <v>1706</v>
      </c>
      <c r="I1172" s="304"/>
      <c r="J1172" s="304" t="s">
        <v>1707</v>
      </c>
      <c r="K1172" t="s">
        <v>172</v>
      </c>
      <c r="L1172" s="304" t="s">
        <v>1706</v>
      </c>
      <c r="M1172" s="304"/>
      <c r="N1172" s="304" t="s">
        <v>1707</v>
      </c>
      <c r="O1172" s="304" t="s">
        <v>1706</v>
      </c>
      <c r="P1172" s="304"/>
      <c r="Q1172" s="304" t="s">
        <v>1707</v>
      </c>
      <c r="R1172" s="304" t="s">
        <v>1706</v>
      </c>
      <c r="S1172" s="304"/>
      <c r="T1172" s="304" t="s">
        <v>1707</v>
      </c>
      <c r="U1172" t="s">
        <v>172</v>
      </c>
      <c r="V1172" s="207" t="s">
        <v>1706</v>
      </c>
      <c r="W1172" s="207"/>
      <c r="X1172" s="207" t="s">
        <v>1707</v>
      </c>
      <c r="Y1172" s="207" t="s">
        <v>1706</v>
      </c>
      <c r="Z1172" s="207"/>
      <c r="AA1172" s="207" t="s">
        <v>1707</v>
      </c>
      <c r="AB1172" s="207" t="s">
        <v>1706</v>
      </c>
      <c r="AC1172" s="207"/>
      <c r="AD1172" s="207" t="s">
        <v>1707</v>
      </c>
      <c r="AE1172" t="s">
        <v>172</v>
      </c>
    </row>
    <row r="1173" spans="1:31" x14ac:dyDescent="0.3">
      <c r="A1173" t="s">
        <v>174</v>
      </c>
      <c r="B1173" s="2">
        <v>15857</v>
      </c>
      <c r="C1173" t="s">
        <v>172</v>
      </c>
      <c r="D1173" s="2">
        <v>297.575757575757</v>
      </c>
      <c r="E1173" s="2">
        <v>16791</v>
      </c>
      <c r="F1173" t="s">
        <v>172</v>
      </c>
      <c r="G1173" s="14">
        <v>318.18181818181802</v>
      </c>
      <c r="H1173" s="2">
        <v>17598</v>
      </c>
      <c r="I1173" t="s">
        <v>172</v>
      </c>
      <c r="J1173" s="14">
        <v>315.75756799999999</v>
      </c>
      <c r="K1173" s="301">
        <v>0.1097937819259633</v>
      </c>
      <c r="L1173" s="2">
        <v>42089</v>
      </c>
      <c r="M1173" t="s">
        <v>172</v>
      </c>
      <c r="N1173" s="2">
        <v>393.33333333333297</v>
      </c>
      <c r="O1173" s="2">
        <v>43159</v>
      </c>
      <c r="P1173" t="s">
        <v>172</v>
      </c>
      <c r="Q1173" s="14">
        <v>457.575757575757</v>
      </c>
      <c r="R1173" s="2">
        <v>44479</v>
      </c>
      <c r="S1173" t="s">
        <v>172</v>
      </c>
      <c r="T1173" s="14">
        <v>306.06060000000002</v>
      </c>
      <c r="U1173" s="301">
        <v>5.6784432987241319E-2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1588</v>
      </c>
      <c r="B1174" s="2">
        <v>8081</v>
      </c>
      <c r="C1174" s="301">
        <v>0.50961720375859243</v>
      </c>
      <c r="D1174" s="2">
        <v>304.84848484848402</v>
      </c>
      <c r="E1174" s="2">
        <v>8016</v>
      </c>
      <c r="F1174" s="301">
        <v>0.47739860639628373</v>
      </c>
      <c r="G1174" s="14">
        <v>314.54545454545399</v>
      </c>
      <c r="H1174" s="2">
        <v>8909</v>
      </c>
      <c r="I1174" s="301">
        <v>0.50625071030798952</v>
      </c>
      <c r="J1174" s="14">
        <v>390.30304000000001</v>
      </c>
      <c r="K1174" s="301">
        <v>0.1024625665140453</v>
      </c>
      <c r="L1174" s="2">
        <v>26535</v>
      </c>
      <c r="M1174" s="301">
        <v>0.6304497612202713</v>
      </c>
      <c r="N1174" s="2">
        <v>493.93939393939399</v>
      </c>
      <c r="O1174" s="2">
        <v>26275</v>
      </c>
      <c r="P1174" s="301">
        <v>0.6087953845084455</v>
      </c>
      <c r="Q1174" s="14">
        <v>477.575757575757</v>
      </c>
      <c r="R1174" s="2">
        <v>29270</v>
      </c>
      <c r="S1174" s="301">
        <v>0.65806335574091146</v>
      </c>
      <c r="T1174" s="14">
        <v>513.33330000000001</v>
      </c>
      <c r="U1174" s="301">
        <v>0.10307141511211608</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1594</v>
      </c>
      <c r="B1175" s="2">
        <v>8081</v>
      </c>
      <c r="C1175" s="301">
        <v>0.50961720375859243</v>
      </c>
      <c r="D1175" s="2">
        <v>304.84848484848402</v>
      </c>
      <c r="E1175" s="2">
        <v>7977</v>
      </c>
      <c r="F1175" s="301">
        <v>0.47507593353582278</v>
      </c>
      <c r="G1175" s="14">
        <v>310.90909090909003</v>
      </c>
      <c r="H1175" s="2">
        <v>8893</v>
      </c>
      <c r="I1175" s="301">
        <v>0.5053415160813729</v>
      </c>
      <c r="J1175" s="14">
        <v>388.48486300000002</v>
      </c>
      <c r="K1175" s="301">
        <v>0.10048261353792848</v>
      </c>
      <c r="L1175" s="2">
        <v>26475</v>
      </c>
      <c r="M1175" s="301">
        <v>0.62902421060134472</v>
      </c>
      <c r="N1175" s="2">
        <v>492.72727272727201</v>
      </c>
      <c r="O1175" s="2">
        <v>26189</v>
      </c>
      <c r="P1175" s="301">
        <v>0.60680275261243311</v>
      </c>
      <c r="Q1175" s="14">
        <v>471.51515151515099</v>
      </c>
      <c r="R1175" s="2">
        <v>29246</v>
      </c>
      <c r="S1175" s="301">
        <v>0.65752377526473171</v>
      </c>
      <c r="T1175" s="14">
        <v>510.30304000000001</v>
      </c>
      <c r="U1175" s="301">
        <v>0.10466477809254013</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1961</v>
      </c>
      <c r="B1176" s="2">
        <v>0</v>
      </c>
      <c r="C1176" s="301">
        <v>0</v>
      </c>
      <c r="D1176" s="2">
        <v>80</v>
      </c>
      <c r="E1176" s="2">
        <v>39</v>
      </c>
      <c r="F1176" s="301">
        <v>2.3226728604609612E-3</v>
      </c>
      <c r="G1176" s="14">
        <v>24.2424242424242</v>
      </c>
      <c r="H1176" s="2">
        <v>16</v>
      </c>
      <c r="I1176" s="301">
        <v>9.0919422661666098E-4</v>
      </c>
      <c r="J1176" s="14">
        <v>15.757576</v>
      </c>
      <c r="L1176" s="2">
        <v>60</v>
      </c>
      <c r="M1176" s="301">
        <v>1.4255506189265604E-3</v>
      </c>
      <c r="N1176" s="2">
        <v>30.303030303030301</v>
      </c>
      <c r="O1176" s="2">
        <v>86</v>
      </c>
      <c r="P1176" s="301">
        <v>1.9926318960124191E-3</v>
      </c>
      <c r="Q1176" s="14">
        <v>39.393939393939398</v>
      </c>
      <c r="R1176" s="2">
        <v>24</v>
      </c>
      <c r="S1176" s="301">
        <v>5.3958047617977021E-4</v>
      </c>
      <c r="T1176" s="14">
        <v>16.969695999999999</v>
      </c>
      <c r="U1176" s="301">
        <v>-0.6</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1591</v>
      </c>
      <c r="B1177" s="2">
        <v>7776</v>
      </c>
      <c r="C1177" s="301">
        <v>0.49038279624140757</v>
      </c>
      <c r="D1177" s="2">
        <v>295.15151515151501</v>
      </c>
      <c r="E1177" s="2">
        <v>8775</v>
      </c>
      <c r="F1177" s="301">
        <v>0.52260139360371627</v>
      </c>
      <c r="G1177" s="14">
        <v>323.030303030303</v>
      </c>
      <c r="H1177" s="2">
        <v>8689</v>
      </c>
      <c r="I1177" s="301">
        <v>0.49374928969201043</v>
      </c>
      <c r="J1177" s="14">
        <v>351.51513699999998</v>
      </c>
      <c r="K1177" s="301">
        <v>0.11741255144032922</v>
      </c>
      <c r="L1177" s="2">
        <v>15554</v>
      </c>
      <c r="M1177" s="301">
        <v>0.36955023877972865</v>
      </c>
      <c r="N1177" s="2">
        <v>477.575757575757</v>
      </c>
      <c r="O1177" s="2">
        <v>16884</v>
      </c>
      <c r="P1177" s="301">
        <v>0.3912046154915545</v>
      </c>
      <c r="Q1177" s="14">
        <v>432.12121212121201</v>
      </c>
      <c r="R1177" s="2">
        <v>15209</v>
      </c>
      <c r="S1177" s="301">
        <v>0.34193664425908854</v>
      </c>
      <c r="T1177" s="14">
        <v>513.93939999999998</v>
      </c>
      <c r="U1177" s="301">
        <v>-2.218078950752218E-2</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1594</v>
      </c>
      <c r="B1178" s="2">
        <v>7672</v>
      </c>
      <c r="C1178" s="301">
        <v>0.48382417859620358</v>
      </c>
      <c r="D1178" s="2">
        <v>289.09090909090901</v>
      </c>
      <c r="E1178" s="2">
        <v>8668</v>
      </c>
      <c r="F1178" s="301">
        <v>0.51622893216604138</v>
      </c>
      <c r="G1178" s="14">
        <v>321.21212121212102</v>
      </c>
      <c r="H1178" s="2">
        <v>8612</v>
      </c>
      <c r="I1178" s="301">
        <v>0.48937379247641777</v>
      </c>
      <c r="J1178" s="14">
        <v>360</v>
      </c>
      <c r="K1178" s="301">
        <v>0.12252346193952034</v>
      </c>
      <c r="L1178" s="2">
        <v>15387</v>
      </c>
      <c r="M1178" s="301">
        <v>0.36558245622371643</v>
      </c>
      <c r="N1178" s="2">
        <v>470.90909090909099</v>
      </c>
      <c r="O1178" s="2">
        <v>16710</v>
      </c>
      <c r="P1178" s="301">
        <v>0.38717301142287819</v>
      </c>
      <c r="Q1178" s="14">
        <v>428.48484848484799</v>
      </c>
      <c r="R1178" s="2">
        <v>15085</v>
      </c>
      <c r="S1178" s="301">
        <v>0.33914881179882639</v>
      </c>
      <c r="T1178" s="14">
        <v>529.09090000000003</v>
      </c>
      <c r="U1178" s="301">
        <v>-1.9626957821537661E-2</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1961</v>
      </c>
      <c r="B1179" s="2">
        <v>104</v>
      </c>
      <c r="C1179" s="301">
        <v>6.558617645204011E-3</v>
      </c>
      <c r="D1179" s="2">
        <v>49.696969696969703</v>
      </c>
      <c r="E1179" s="2">
        <v>107</v>
      </c>
      <c r="F1179" s="301">
        <v>6.3724614376749452E-3</v>
      </c>
      <c r="G1179" s="14">
        <v>48.484848484848399</v>
      </c>
      <c r="H1179" s="2">
        <v>77</v>
      </c>
      <c r="I1179" s="301">
        <v>4.3754972155926808E-3</v>
      </c>
      <c r="J1179" s="14">
        <v>49.696968099999999</v>
      </c>
      <c r="K1179" s="301">
        <v>-0.25961538461538464</v>
      </c>
      <c r="L1179" s="2">
        <v>167</v>
      </c>
      <c r="M1179" s="301">
        <v>3.9677825560122601E-3</v>
      </c>
      <c r="N1179" s="2">
        <v>60</v>
      </c>
      <c r="O1179" s="2">
        <v>174</v>
      </c>
      <c r="P1179" s="301">
        <v>4.0316040686762897E-3</v>
      </c>
      <c r="Q1179" s="14">
        <v>57.5757575757575</v>
      </c>
      <c r="R1179" s="2">
        <v>124</v>
      </c>
      <c r="S1179" s="301">
        <v>2.7878324602621462E-3</v>
      </c>
      <c r="T1179" s="14">
        <v>78.787880000000001</v>
      </c>
      <c r="U1179" s="301">
        <v>-0.25748502994011974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1962</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1706</v>
      </c>
      <c r="C1182" s="304"/>
      <c r="D1182" s="304" t="s">
        <v>1707</v>
      </c>
      <c r="E1182" s="304" t="s">
        <v>1706</v>
      </c>
      <c r="F1182" s="304"/>
      <c r="G1182" s="304" t="s">
        <v>1707</v>
      </c>
      <c r="H1182" s="304" t="s">
        <v>1706</v>
      </c>
      <c r="I1182" s="304"/>
      <c r="J1182" s="304" t="s">
        <v>1707</v>
      </c>
      <c r="K1182" t="s">
        <v>172</v>
      </c>
      <c r="L1182" s="304" t="s">
        <v>1706</v>
      </c>
      <c r="M1182" s="304"/>
      <c r="N1182" s="304" t="s">
        <v>1707</v>
      </c>
      <c r="O1182" s="304" t="s">
        <v>1706</v>
      </c>
      <c r="P1182" s="304"/>
      <c r="Q1182" s="304" t="s">
        <v>1707</v>
      </c>
      <c r="R1182" s="304" t="s">
        <v>1706</v>
      </c>
      <c r="S1182" s="304"/>
      <c r="T1182" s="304" t="s">
        <v>1707</v>
      </c>
      <c r="U1182" t="s">
        <v>172</v>
      </c>
      <c r="V1182" s="207" t="s">
        <v>1706</v>
      </c>
      <c r="W1182" s="207"/>
      <c r="X1182" s="207" t="s">
        <v>1707</v>
      </c>
      <c r="Y1182" s="207" t="s">
        <v>1706</v>
      </c>
      <c r="Z1182" s="207"/>
      <c r="AA1182" s="207" t="s">
        <v>1707</v>
      </c>
      <c r="AB1182" s="207" t="s">
        <v>1706</v>
      </c>
      <c r="AC1182" s="207"/>
      <c r="AD1182" s="207" t="s">
        <v>1707</v>
      </c>
      <c r="AE1182" t="s">
        <v>172</v>
      </c>
    </row>
    <row r="1183" spans="1:31" x14ac:dyDescent="0.3">
      <c r="A1183" t="s">
        <v>1415</v>
      </c>
      <c r="B1183" s="15">
        <v>841</v>
      </c>
      <c r="C1183" t="s">
        <v>172</v>
      </c>
      <c r="D1183" s="15">
        <v>22.424242424242401</v>
      </c>
      <c r="E1183" s="15">
        <v>890</v>
      </c>
      <c r="F1183" t="s">
        <v>172</v>
      </c>
      <c r="G1183" s="15">
        <v>16.969696969696901</v>
      </c>
      <c r="H1183" s="2">
        <v>1079</v>
      </c>
      <c r="I1183" t="s">
        <v>172</v>
      </c>
      <c r="J1183" s="14">
        <v>29.69697</v>
      </c>
      <c r="K1183" s="301">
        <v>0.28299643281807374</v>
      </c>
      <c r="L1183" s="15">
        <v>864</v>
      </c>
      <c r="M1183" t="s">
        <v>172</v>
      </c>
      <c r="N1183" s="15">
        <v>15.757575757575699</v>
      </c>
      <c r="O1183" s="15">
        <v>926</v>
      </c>
      <c r="P1183" t="s">
        <v>172</v>
      </c>
      <c r="Q1183" s="15">
        <v>15.757575757575699</v>
      </c>
      <c r="R1183" s="2">
        <v>1068</v>
      </c>
      <c r="S1183" t="s">
        <v>172</v>
      </c>
      <c r="T1183" s="14">
        <v>20.606059999999999</v>
      </c>
      <c r="U1183" s="301">
        <v>0.2361111111111111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1963</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1706</v>
      </c>
      <c r="C1186" s="304"/>
      <c r="D1186" s="304" t="s">
        <v>1707</v>
      </c>
      <c r="E1186" s="304" t="s">
        <v>1706</v>
      </c>
      <c r="F1186" s="304"/>
      <c r="G1186" s="304" t="s">
        <v>1707</v>
      </c>
      <c r="H1186" s="304" t="s">
        <v>1706</v>
      </c>
      <c r="I1186" s="304"/>
      <c r="J1186" s="304" t="s">
        <v>1707</v>
      </c>
      <c r="K1186" t="s">
        <v>172</v>
      </c>
      <c r="L1186" s="304" t="s">
        <v>1706</v>
      </c>
      <c r="M1186" s="304"/>
      <c r="N1186" s="304" t="s">
        <v>1707</v>
      </c>
      <c r="O1186" s="304" t="s">
        <v>1706</v>
      </c>
      <c r="P1186" s="304"/>
      <c r="Q1186" s="304" t="s">
        <v>1707</v>
      </c>
      <c r="R1186" s="304" t="s">
        <v>1706</v>
      </c>
      <c r="S1186" s="304"/>
      <c r="T1186" s="304" t="s">
        <v>1707</v>
      </c>
      <c r="U1186" t="s">
        <v>172</v>
      </c>
      <c r="V1186" s="207" t="s">
        <v>1706</v>
      </c>
      <c r="W1186" s="207"/>
      <c r="X1186" s="207" t="s">
        <v>1707</v>
      </c>
      <c r="Y1186" s="207" t="s">
        <v>1706</v>
      </c>
      <c r="Z1186" s="207"/>
      <c r="AA1186" s="207" t="s">
        <v>1707</v>
      </c>
      <c r="AB1186" s="207" t="s">
        <v>1706</v>
      </c>
      <c r="AC1186" s="207"/>
      <c r="AD1186" s="207" t="s">
        <v>1707</v>
      </c>
      <c r="AE1186" t="s">
        <v>172</v>
      </c>
    </row>
    <row r="1187" spans="1:31" x14ac:dyDescent="0.3">
      <c r="A1187" t="s">
        <v>174</v>
      </c>
      <c r="B1187" s="2">
        <v>7776</v>
      </c>
      <c r="C1187" t="s">
        <v>172</v>
      </c>
      <c r="D1187" s="2">
        <v>295.15151515151501</v>
      </c>
      <c r="E1187" s="2">
        <v>8775</v>
      </c>
      <c r="F1187" t="s">
        <v>172</v>
      </c>
      <c r="G1187" s="14">
        <v>323.030303030303</v>
      </c>
      <c r="H1187" s="2">
        <v>8689</v>
      </c>
      <c r="I1187" t="s">
        <v>172</v>
      </c>
      <c r="J1187" s="14">
        <v>351.51513699999998</v>
      </c>
      <c r="K1187" s="301">
        <v>0.11741255144032922</v>
      </c>
      <c r="L1187" s="2">
        <v>15554</v>
      </c>
      <c r="M1187" t="s">
        <v>172</v>
      </c>
      <c r="N1187" s="2">
        <v>477.575757575757</v>
      </c>
      <c r="O1187" s="2">
        <v>16884</v>
      </c>
      <c r="P1187" t="s">
        <v>172</v>
      </c>
      <c r="Q1187" s="14">
        <v>432.12121212121201</v>
      </c>
      <c r="R1187" s="2">
        <v>15209</v>
      </c>
      <c r="S1187" t="s">
        <v>172</v>
      </c>
      <c r="T1187" s="14">
        <v>513.93939999999998</v>
      </c>
      <c r="U1187" s="301">
        <v>-2.218078950752218E-2</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1964</v>
      </c>
      <c r="B1188" s="2">
        <v>165</v>
      </c>
      <c r="C1188" s="301">
        <v>2.1219135802469136E-2</v>
      </c>
      <c r="D1188" s="2">
        <v>75.757575757575694</v>
      </c>
      <c r="E1188" s="2">
        <v>255</v>
      </c>
      <c r="F1188" s="301">
        <v>2.9059829059829061E-2</v>
      </c>
      <c r="G1188" s="14">
        <v>77.575757575757507</v>
      </c>
      <c r="H1188" s="2">
        <v>120</v>
      </c>
      <c r="I1188" s="301">
        <v>1.3810565082287951E-2</v>
      </c>
      <c r="J1188" s="14">
        <v>46.6666679</v>
      </c>
      <c r="K1188" s="301">
        <v>-0.27272727272727271</v>
      </c>
      <c r="L1188" s="2">
        <v>568</v>
      </c>
      <c r="M1188" s="301">
        <v>3.6517937508036516E-2</v>
      </c>
      <c r="N1188" s="2">
        <v>126.06060606060601</v>
      </c>
      <c r="O1188" s="2">
        <v>550</v>
      </c>
      <c r="P1188" s="301">
        <v>3.2575219142383323E-2</v>
      </c>
      <c r="Q1188" s="14">
        <v>117.575757575757</v>
      </c>
      <c r="R1188" s="2">
        <v>336</v>
      </c>
      <c r="S1188" s="301">
        <v>2.2092182260503648E-2</v>
      </c>
      <c r="T1188" s="14">
        <v>63.636364</v>
      </c>
      <c r="U1188" s="301">
        <v>-0.40845070422535212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1965</v>
      </c>
      <c r="B1189" s="2">
        <v>603</v>
      </c>
      <c r="C1189" s="301">
        <v>7.7546296296296294E-2</v>
      </c>
      <c r="D1189" s="2">
        <v>106.666666666666</v>
      </c>
      <c r="E1189" s="2">
        <v>467</v>
      </c>
      <c r="F1189" s="301">
        <v>5.3219373219373221E-2</v>
      </c>
      <c r="G1189" s="14">
        <v>96.969696969696898</v>
      </c>
      <c r="H1189" s="2">
        <v>576</v>
      </c>
      <c r="I1189" s="301">
        <v>6.629071239498216E-2</v>
      </c>
      <c r="J1189" s="14">
        <v>146.060608</v>
      </c>
      <c r="K1189" s="301">
        <v>-4.4776119402985072E-2</v>
      </c>
      <c r="L1189" s="2">
        <v>1064</v>
      </c>
      <c r="M1189" s="301">
        <v>6.840684068406841E-2</v>
      </c>
      <c r="N1189" s="2">
        <v>153.939393939393</v>
      </c>
      <c r="O1189" s="2">
        <v>1016</v>
      </c>
      <c r="P1189" s="301">
        <v>6.0175313906657188E-2</v>
      </c>
      <c r="Q1189" s="14">
        <v>136.363636363636</v>
      </c>
      <c r="R1189" s="2">
        <v>1336</v>
      </c>
      <c r="S1189" s="301">
        <v>8.7842724702478794E-2</v>
      </c>
      <c r="T1189" s="14">
        <v>230.909088</v>
      </c>
      <c r="U1189" s="301">
        <v>0.25563909774436089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1966</v>
      </c>
      <c r="B1190" s="2">
        <v>864</v>
      </c>
      <c r="C1190" s="301">
        <v>0.1111111111111111</v>
      </c>
      <c r="D1190" s="2">
        <v>123.030303030303</v>
      </c>
      <c r="E1190" s="2">
        <v>820</v>
      </c>
      <c r="F1190" s="301">
        <v>9.3447293447293453E-2</v>
      </c>
      <c r="G1190" s="14">
        <v>120.60606060606</v>
      </c>
      <c r="H1190" s="2">
        <v>781</v>
      </c>
      <c r="I1190" s="301">
        <v>8.9883761077224081E-2</v>
      </c>
      <c r="J1190" s="14">
        <v>164.84848</v>
      </c>
      <c r="K1190" s="301">
        <v>-9.6064814814814811E-2</v>
      </c>
      <c r="L1190" s="2">
        <v>1649</v>
      </c>
      <c r="M1190" s="301">
        <v>0.10601774463160601</v>
      </c>
      <c r="N1190" s="2">
        <v>178.18181818181799</v>
      </c>
      <c r="O1190" s="2">
        <v>1483</v>
      </c>
      <c r="P1190" s="301">
        <v>8.7834636342099023E-2</v>
      </c>
      <c r="Q1190" s="14">
        <v>166.666666666666</v>
      </c>
      <c r="R1190" s="2">
        <v>1690</v>
      </c>
      <c r="S1190" s="301">
        <v>0.11111841672693799</v>
      </c>
      <c r="T1190" s="14">
        <v>206.66667200000001</v>
      </c>
      <c r="U1190" s="301">
        <v>2.4863553668890235E-2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1967</v>
      </c>
      <c r="B1191" s="2">
        <v>833</v>
      </c>
      <c r="C1191" s="301">
        <v>0.10712448559670781</v>
      </c>
      <c r="D1191" s="2">
        <v>144.24242424242399</v>
      </c>
      <c r="E1191" s="2">
        <v>1168</v>
      </c>
      <c r="F1191" s="301">
        <v>0.1331054131054131</v>
      </c>
      <c r="G1191" s="14">
        <v>166.06060606060601</v>
      </c>
      <c r="H1191" s="2">
        <v>989</v>
      </c>
      <c r="I1191" s="301">
        <v>0.11382207388652318</v>
      </c>
      <c r="J1191" s="14">
        <v>186.060608</v>
      </c>
      <c r="K1191" s="301">
        <v>0.1872749099639856</v>
      </c>
      <c r="L1191" s="2">
        <v>1567</v>
      </c>
      <c r="M1191" s="301">
        <v>0.10074578886460074</v>
      </c>
      <c r="N1191" s="2">
        <v>195.75757575757501</v>
      </c>
      <c r="O1191" s="2">
        <v>1904</v>
      </c>
      <c r="P1191" s="301">
        <v>0.11276948590381426</v>
      </c>
      <c r="Q1191" s="14">
        <v>199.39393939393901</v>
      </c>
      <c r="R1191" s="2">
        <v>1613</v>
      </c>
      <c r="S1191" s="301">
        <v>0.10605562495890591</v>
      </c>
      <c r="T1191" s="14">
        <v>243.03030000000001</v>
      </c>
      <c r="U1191" s="301">
        <v>2.9355456285896617E-2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1968</v>
      </c>
      <c r="B1192" s="2">
        <v>791</v>
      </c>
      <c r="C1192" s="301">
        <v>0.10172325102880658</v>
      </c>
      <c r="D1192" s="2">
        <v>131.51515151515099</v>
      </c>
      <c r="E1192" s="2">
        <v>992</v>
      </c>
      <c r="F1192" s="301">
        <v>0.11304843304843305</v>
      </c>
      <c r="G1192" s="14">
        <v>135.75757575757501</v>
      </c>
      <c r="H1192" s="2">
        <v>1130</v>
      </c>
      <c r="I1192" s="301">
        <v>0.13004948785821152</v>
      </c>
      <c r="J1192" s="14">
        <v>184.24243200000001</v>
      </c>
      <c r="K1192" s="301">
        <v>0.42857142857142855</v>
      </c>
      <c r="L1192" s="2">
        <v>1392</v>
      </c>
      <c r="M1192" s="301">
        <v>8.949466375208949E-2</v>
      </c>
      <c r="N1192" s="2">
        <v>184.84848484848399</v>
      </c>
      <c r="O1192" s="2">
        <v>1600</v>
      </c>
      <c r="P1192" s="301">
        <v>9.4764273868751484E-2</v>
      </c>
      <c r="Q1192" s="14">
        <v>200.60606060606</v>
      </c>
      <c r="R1192" s="2">
        <v>1847</v>
      </c>
      <c r="S1192" s="301">
        <v>0.12144125189032809</v>
      </c>
      <c r="T1192" s="14">
        <v>244.24243200000001</v>
      </c>
      <c r="U1192" s="301">
        <v>0.32686781609195403</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1969</v>
      </c>
      <c r="B1193" s="2">
        <v>691</v>
      </c>
      <c r="C1193" s="301">
        <v>8.8863168724279837E-2</v>
      </c>
      <c r="D1193" s="2">
        <v>121.818181818181</v>
      </c>
      <c r="E1193" s="2">
        <v>818</v>
      </c>
      <c r="F1193" s="301">
        <v>9.3219373219373222E-2</v>
      </c>
      <c r="G1193" s="14">
        <v>133.939393939393</v>
      </c>
      <c r="H1193" s="2">
        <v>839</v>
      </c>
      <c r="I1193" s="301">
        <v>9.6558867533663259E-2</v>
      </c>
      <c r="J1193" s="14">
        <v>150.909088</v>
      </c>
      <c r="K1193" s="301">
        <v>0.2141823444283647</v>
      </c>
      <c r="L1193" s="2">
        <v>1425</v>
      </c>
      <c r="M1193" s="301">
        <v>9.1616304487591615E-2</v>
      </c>
      <c r="N1193" s="2">
        <v>167.87878787878699</v>
      </c>
      <c r="O1193" s="2">
        <v>1329</v>
      </c>
      <c r="P1193" s="301">
        <v>7.8713574982231693E-2</v>
      </c>
      <c r="Q1193" s="14">
        <v>192.72727272727201</v>
      </c>
      <c r="R1193" s="2">
        <v>1416</v>
      </c>
      <c r="S1193" s="301">
        <v>9.3102768097836811E-2</v>
      </c>
      <c r="T1193" s="14">
        <v>204.24243200000001</v>
      </c>
      <c r="U1193" s="301">
        <v>-6.3157894736842104E-3</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1970</v>
      </c>
      <c r="B1194" s="2">
        <v>549</v>
      </c>
      <c r="C1194" s="301">
        <v>7.0601851851851846E-2</v>
      </c>
      <c r="D1194" s="2">
        <v>108.484848484848</v>
      </c>
      <c r="E1194" s="2">
        <v>501</v>
      </c>
      <c r="F1194" s="301">
        <v>5.7094017094017097E-2</v>
      </c>
      <c r="G1194" s="14">
        <v>107.87878787878699</v>
      </c>
      <c r="H1194" s="2">
        <v>564</v>
      </c>
      <c r="I1194" s="301">
        <v>6.4909655886753362E-2</v>
      </c>
      <c r="J1194" s="14">
        <v>126.666664</v>
      </c>
      <c r="K1194" s="301">
        <v>2.7322404371584699E-2</v>
      </c>
      <c r="L1194" s="2">
        <v>1070</v>
      </c>
      <c r="M1194" s="301">
        <v>6.8792593545068795E-2</v>
      </c>
      <c r="N1194" s="2">
        <v>135.75757575757501</v>
      </c>
      <c r="O1194" s="2">
        <v>1097</v>
      </c>
      <c r="P1194" s="301">
        <v>6.4972755271262728E-2</v>
      </c>
      <c r="Q1194" s="14">
        <v>155.75757575757501</v>
      </c>
      <c r="R1194" s="2">
        <v>948</v>
      </c>
      <c r="S1194" s="301">
        <v>6.233151423499244E-2</v>
      </c>
      <c r="T1194" s="14">
        <v>169.090912</v>
      </c>
      <c r="U1194" s="301">
        <v>-0.11401869158878504</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1971</v>
      </c>
      <c r="B1195" s="2">
        <v>787</v>
      </c>
      <c r="C1195" s="301">
        <v>0.10120884773662552</v>
      </c>
      <c r="D1195" s="2">
        <v>121.818181818181</v>
      </c>
      <c r="E1195" s="2">
        <v>1245</v>
      </c>
      <c r="F1195" s="301">
        <v>0.14188034188034188</v>
      </c>
      <c r="G1195" s="14">
        <v>148.48484848484799</v>
      </c>
      <c r="H1195" s="2">
        <v>942</v>
      </c>
      <c r="I1195" s="301">
        <v>0.10841293589596041</v>
      </c>
      <c r="J1195" s="14">
        <v>254.545456</v>
      </c>
      <c r="K1195" s="301">
        <v>0.19695044472681067</v>
      </c>
      <c r="L1195" s="2">
        <v>1476</v>
      </c>
      <c r="M1195" s="301">
        <v>9.4895203806094897E-2</v>
      </c>
      <c r="N1195" s="2">
        <v>169.69696969696901</v>
      </c>
      <c r="O1195" s="2">
        <v>2169</v>
      </c>
      <c r="P1195" s="301">
        <v>0.12846481876332622</v>
      </c>
      <c r="Q1195" s="14">
        <v>222.42424242424201</v>
      </c>
      <c r="R1195" s="2">
        <v>1332</v>
      </c>
      <c r="S1195" s="301">
        <v>8.7579722532710888E-2</v>
      </c>
      <c r="T1195" s="14">
        <v>263.63635299999999</v>
      </c>
      <c r="U1195" s="301">
        <v>-9.7560975609756101E-2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1972</v>
      </c>
      <c r="B1196" s="2">
        <v>2146</v>
      </c>
      <c r="C1196" s="301">
        <v>0.27597736625514402</v>
      </c>
      <c r="D1196" s="2">
        <v>211.51515151515099</v>
      </c>
      <c r="E1196" s="2">
        <v>1946</v>
      </c>
      <c r="F1196" s="301">
        <v>0.22176638176638178</v>
      </c>
      <c r="G1196" s="14">
        <v>207.272727272727</v>
      </c>
      <c r="H1196" s="2">
        <v>2298</v>
      </c>
      <c r="I1196" s="301">
        <v>0.26447232132581427</v>
      </c>
      <c r="J1196" s="14">
        <v>267.27273600000001</v>
      </c>
      <c r="K1196" s="301">
        <v>7.0829450139794969E-2</v>
      </c>
      <c r="L1196" s="2">
        <v>3748</v>
      </c>
      <c r="M1196" s="301">
        <v>0.24096695383824096</v>
      </c>
      <c r="N1196" s="2">
        <v>325.45454545454498</v>
      </c>
      <c r="O1196" s="2">
        <v>3621</v>
      </c>
      <c r="P1196" s="301">
        <v>0.21446339729921821</v>
      </c>
      <c r="Q1196" s="14">
        <v>307.87878787878702</v>
      </c>
      <c r="R1196" s="2">
        <v>3308</v>
      </c>
      <c r="S1196" s="301">
        <v>0.21750279439805378</v>
      </c>
      <c r="T1196" s="14">
        <v>295.75756799999999</v>
      </c>
      <c r="U1196" s="301">
        <v>-0.11739594450373532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1973</v>
      </c>
      <c r="B1197" s="2">
        <v>347</v>
      </c>
      <c r="C1197" s="301">
        <v>4.4624485596707821E-2</v>
      </c>
      <c r="D1197" s="2">
        <v>72.121212121212096</v>
      </c>
      <c r="E1197" s="2">
        <v>563</v>
      </c>
      <c r="F1197" s="301">
        <v>6.4159544159544155E-2</v>
      </c>
      <c r="G1197" s="14">
        <v>140</v>
      </c>
      <c r="H1197" s="2">
        <v>450</v>
      </c>
      <c r="I1197" s="301">
        <v>5.1789619058579817E-2</v>
      </c>
      <c r="J1197" s="14">
        <v>153.939392</v>
      </c>
      <c r="K1197" s="301">
        <v>0.29682997118155618</v>
      </c>
      <c r="L1197" s="2">
        <v>1595</v>
      </c>
      <c r="M1197" s="301">
        <v>0.10254596888260255</v>
      </c>
      <c r="N1197" s="2">
        <v>158.78787878787799</v>
      </c>
      <c r="O1197" s="2">
        <v>2115</v>
      </c>
      <c r="P1197" s="301">
        <v>0.12526652452025586</v>
      </c>
      <c r="Q1197" s="14">
        <v>223.030303030303</v>
      </c>
      <c r="R1197" s="2">
        <v>1383</v>
      </c>
      <c r="S1197" s="301">
        <v>9.0933000197251632E-2</v>
      </c>
      <c r="T1197" s="14">
        <v>209.69697600000001</v>
      </c>
      <c r="U1197" s="301">
        <v>-0.13291536050156741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1974</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1706</v>
      </c>
      <c r="C1200" s="304"/>
      <c r="D1200" s="304" t="s">
        <v>1707</v>
      </c>
      <c r="E1200" s="304" t="s">
        <v>1706</v>
      </c>
      <c r="F1200" s="304"/>
      <c r="G1200" s="304" t="s">
        <v>1707</v>
      </c>
      <c r="H1200" s="304" t="s">
        <v>1706</v>
      </c>
      <c r="I1200" s="304"/>
      <c r="J1200" s="304" t="s">
        <v>1707</v>
      </c>
      <c r="K1200" t="s">
        <v>172</v>
      </c>
      <c r="L1200" s="304" t="s">
        <v>1706</v>
      </c>
      <c r="M1200" s="304"/>
      <c r="N1200" s="304" t="s">
        <v>1707</v>
      </c>
      <c r="O1200" s="304" t="s">
        <v>1706</v>
      </c>
      <c r="P1200" s="304"/>
      <c r="Q1200" s="304" t="s">
        <v>1707</v>
      </c>
      <c r="R1200" s="304" t="s">
        <v>1706</v>
      </c>
      <c r="S1200" s="304"/>
      <c r="T1200" s="304" t="s">
        <v>1707</v>
      </c>
      <c r="U1200" t="s">
        <v>172</v>
      </c>
      <c r="V1200" s="207" t="s">
        <v>1706</v>
      </c>
      <c r="W1200" s="207"/>
      <c r="X1200" s="207" t="s">
        <v>1707</v>
      </c>
      <c r="Y1200" s="207" t="s">
        <v>1706</v>
      </c>
      <c r="Z1200" s="207"/>
      <c r="AA1200" s="207" t="s">
        <v>1707</v>
      </c>
      <c r="AB1200" s="207" t="s">
        <v>1706</v>
      </c>
      <c r="AC1200" s="207"/>
      <c r="AD1200" s="207" t="s">
        <v>1707</v>
      </c>
      <c r="AE1200" t="s">
        <v>172</v>
      </c>
    </row>
    <row r="1201" spans="1:31" x14ac:dyDescent="0.3">
      <c r="A1201" t="s">
        <v>1975</v>
      </c>
      <c r="B1201" s="306">
        <v>0.33299999999999996</v>
      </c>
      <c r="C1201" t="s">
        <v>172</v>
      </c>
      <c r="D1201" s="306">
        <v>1.51515151515151E-2</v>
      </c>
      <c r="E1201" s="2">
        <v>32.5</v>
      </c>
      <c r="F1201" t="s">
        <v>172</v>
      </c>
      <c r="G1201" s="14">
        <v>1.2121212121212099</v>
      </c>
      <c r="H1201" s="14">
        <v>33.1</v>
      </c>
      <c r="I1201" t="s">
        <v>172</v>
      </c>
      <c r="J1201" s="14">
        <v>1.6969697500000001</v>
      </c>
      <c r="K1201" s="301">
        <v>-6.0060060060058785E-3</v>
      </c>
      <c r="L1201" s="306">
        <v>0.32600000000000001</v>
      </c>
      <c r="M1201" t="s">
        <v>172</v>
      </c>
      <c r="N1201" s="306">
        <v>9.6969696969696987E-3</v>
      </c>
      <c r="O1201" s="2">
        <v>33.1</v>
      </c>
      <c r="P1201" t="s">
        <v>172</v>
      </c>
      <c r="Q1201" s="14">
        <v>1.15151515151515</v>
      </c>
      <c r="R1201" s="14">
        <v>30.3</v>
      </c>
      <c r="S1201" t="s">
        <v>172</v>
      </c>
      <c r="T1201" s="14">
        <v>1.1515151299999999</v>
      </c>
      <c r="U1201" s="301">
        <v>-7.0552147239263827E-2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1976</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1706</v>
      </c>
      <c r="C1204" s="304"/>
      <c r="D1204" s="304" t="s">
        <v>1707</v>
      </c>
      <c r="E1204" s="304" t="s">
        <v>1706</v>
      </c>
      <c r="F1204" s="304"/>
      <c r="G1204" s="304" t="s">
        <v>1707</v>
      </c>
      <c r="H1204" s="304" t="s">
        <v>1706</v>
      </c>
      <c r="I1204" s="304"/>
      <c r="J1204" s="304" t="s">
        <v>1707</v>
      </c>
      <c r="K1204" t="s">
        <v>172</v>
      </c>
      <c r="L1204" s="304" t="s">
        <v>1706</v>
      </c>
      <c r="M1204" s="304"/>
      <c r="N1204" s="304" t="s">
        <v>1707</v>
      </c>
      <c r="O1204" s="304" t="s">
        <v>1706</v>
      </c>
      <c r="P1204" s="304"/>
      <c r="Q1204" s="304" t="s">
        <v>1707</v>
      </c>
      <c r="R1204" s="304" t="s">
        <v>1706</v>
      </c>
      <c r="S1204" s="304"/>
      <c r="T1204" s="304" t="s">
        <v>1707</v>
      </c>
      <c r="U1204" t="s">
        <v>172</v>
      </c>
      <c r="V1204" s="207" t="s">
        <v>1706</v>
      </c>
      <c r="W1204" s="207"/>
      <c r="X1204" s="207" t="s">
        <v>1707</v>
      </c>
      <c r="Y1204" s="207" t="s">
        <v>1706</v>
      </c>
      <c r="Z1204" s="207"/>
      <c r="AA1204" s="207" t="s">
        <v>1707</v>
      </c>
      <c r="AB1204" s="207" t="s">
        <v>1706</v>
      </c>
      <c r="AC1204" s="207"/>
      <c r="AD1204" s="207" t="s">
        <v>1707</v>
      </c>
      <c r="AE1204" t="s">
        <v>172</v>
      </c>
    </row>
    <row r="1205" spans="1:31" x14ac:dyDescent="0.3">
      <c r="A1205" t="s">
        <v>1694</v>
      </c>
      <c r="B1205" s="15">
        <v>230300</v>
      </c>
      <c r="C1205" t="s">
        <v>172</v>
      </c>
      <c r="D1205" s="15">
        <v>6541.8181818181802</v>
      </c>
      <c r="E1205" s="15">
        <v>153800</v>
      </c>
      <c r="F1205" t="s">
        <v>172</v>
      </c>
      <c r="G1205" s="15">
        <v>3737.5757575757498</v>
      </c>
      <c r="H1205" s="2">
        <v>237500</v>
      </c>
      <c r="I1205" t="s">
        <v>172</v>
      </c>
      <c r="J1205" s="14">
        <v>4527.2730000000001</v>
      </c>
      <c r="K1205" s="301">
        <v>3.1263569257490229E-2</v>
      </c>
      <c r="L1205" s="15">
        <v>276000</v>
      </c>
      <c r="M1205" t="s">
        <v>172</v>
      </c>
      <c r="N1205" s="15">
        <v>4825.4545454545396</v>
      </c>
      <c r="O1205" s="15">
        <v>189700</v>
      </c>
      <c r="P1205" t="s">
        <v>172</v>
      </c>
      <c r="Q1205" s="15">
        <v>4078.7878787878699</v>
      </c>
      <c r="R1205" s="2">
        <v>268500</v>
      </c>
      <c r="S1205" t="s">
        <v>172</v>
      </c>
      <c r="T1205" s="14">
        <v>3119.3939999999998</v>
      </c>
      <c r="U1205" s="301">
        <v>-2.717391304347826E-2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1977</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1706</v>
      </c>
      <c r="C1208" s="304"/>
      <c r="D1208" s="304" t="s">
        <v>1707</v>
      </c>
      <c r="E1208" s="304" t="s">
        <v>1706</v>
      </c>
      <c r="F1208" s="304"/>
      <c r="G1208" s="304" t="s">
        <v>1707</v>
      </c>
      <c r="H1208" s="304" t="s">
        <v>1706</v>
      </c>
      <c r="I1208" s="304"/>
      <c r="J1208" s="304" t="s">
        <v>1707</v>
      </c>
      <c r="K1208" t="s">
        <v>172</v>
      </c>
      <c r="L1208" s="304" t="s">
        <v>1706</v>
      </c>
      <c r="M1208" s="304"/>
      <c r="N1208" s="304" t="s">
        <v>1707</v>
      </c>
      <c r="O1208" s="304" t="s">
        <v>1706</v>
      </c>
      <c r="P1208" s="304"/>
      <c r="Q1208" s="304" t="s">
        <v>1707</v>
      </c>
      <c r="R1208" s="304" t="s">
        <v>1706</v>
      </c>
      <c r="S1208" s="304"/>
      <c r="T1208" s="304" t="s">
        <v>1707</v>
      </c>
      <c r="U1208" t="s">
        <v>172</v>
      </c>
      <c r="V1208" s="207" t="s">
        <v>1706</v>
      </c>
      <c r="W1208" s="207"/>
      <c r="X1208" s="207" t="s">
        <v>1707</v>
      </c>
      <c r="Y1208" s="207" t="s">
        <v>1706</v>
      </c>
      <c r="Z1208" s="207"/>
      <c r="AA1208" s="207" t="s">
        <v>1707</v>
      </c>
      <c r="AB1208" s="207" t="s">
        <v>1706</v>
      </c>
      <c r="AC1208" s="207"/>
      <c r="AD1208" s="207" t="s">
        <v>1707</v>
      </c>
      <c r="AE1208" t="s">
        <v>172</v>
      </c>
    </row>
    <row r="1209" spans="1:31" x14ac:dyDescent="0.3">
      <c r="A1209" t="s">
        <v>1978</v>
      </c>
      <c r="B1209" s="15">
        <v>1298</v>
      </c>
      <c r="C1209" t="s">
        <v>172</v>
      </c>
      <c r="D1209" s="15">
        <v>40</v>
      </c>
      <c r="E1209" s="15">
        <v>1057</v>
      </c>
      <c r="F1209" t="s">
        <v>172</v>
      </c>
      <c r="G1209" s="15">
        <v>28.484848484848399</v>
      </c>
      <c r="H1209" s="2">
        <v>1233</v>
      </c>
      <c r="I1209" t="s">
        <v>172</v>
      </c>
      <c r="J1209" s="14">
        <v>47.878788</v>
      </c>
      <c r="K1209" s="301">
        <v>-5.007704160246533E-2</v>
      </c>
      <c r="L1209" s="15">
        <v>1294</v>
      </c>
      <c r="M1209" t="s">
        <v>172</v>
      </c>
      <c r="N1209" s="15">
        <v>30.303030303030301</v>
      </c>
      <c r="O1209" s="15">
        <v>1105</v>
      </c>
      <c r="P1209" t="s">
        <v>172</v>
      </c>
      <c r="Q1209" s="15">
        <v>21.818181818181799</v>
      </c>
      <c r="R1209" s="2">
        <v>1240</v>
      </c>
      <c r="S1209" t="s">
        <v>172</v>
      </c>
      <c r="T1209" s="14">
        <v>33.939392099999999</v>
      </c>
      <c r="U1209" s="301">
        <v>-4.1731066460587329E-2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1979</v>
      </c>
      <c r="B1210" s="15">
        <v>1583</v>
      </c>
      <c r="C1210" t="s">
        <v>172</v>
      </c>
      <c r="D1210" s="15">
        <v>50.303030303030297</v>
      </c>
      <c r="E1210" s="15">
        <v>1254</v>
      </c>
      <c r="F1210" t="s">
        <v>172</v>
      </c>
      <c r="G1210" s="15">
        <v>32.121212121212103</v>
      </c>
      <c r="H1210" s="2">
        <v>1457</v>
      </c>
      <c r="I1210" t="s">
        <v>172</v>
      </c>
      <c r="J1210" s="14">
        <v>38.181820000000002</v>
      </c>
      <c r="K1210" s="301">
        <v>-7.9595704358812386E-2</v>
      </c>
      <c r="L1210" s="15">
        <v>1701</v>
      </c>
      <c r="M1210" t="s">
        <v>172</v>
      </c>
      <c r="N1210" s="15">
        <v>33.939393939393902</v>
      </c>
      <c r="O1210" s="15">
        <v>1450</v>
      </c>
      <c r="P1210" t="s">
        <v>172</v>
      </c>
      <c r="Q1210" s="15">
        <v>20</v>
      </c>
      <c r="R1210" s="2">
        <v>1578</v>
      </c>
      <c r="S1210" t="s">
        <v>172</v>
      </c>
      <c r="T1210" s="14">
        <v>26.060606</v>
      </c>
      <c r="U1210" s="301">
        <v>-7.2310405643738973E-2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1980</v>
      </c>
      <c r="B1211" s="15">
        <v>345</v>
      </c>
      <c r="C1211" t="s">
        <v>172</v>
      </c>
      <c r="D1211" s="15">
        <v>11.5151515151515</v>
      </c>
      <c r="E1211" s="15">
        <v>357</v>
      </c>
      <c r="F1211" t="s">
        <v>172</v>
      </c>
      <c r="G1211" s="15">
        <v>18.7878787878787</v>
      </c>
      <c r="H1211" s="2">
        <v>463</v>
      </c>
      <c r="I1211" t="s">
        <v>172</v>
      </c>
      <c r="J1211" s="14">
        <v>19.393940000000001</v>
      </c>
      <c r="K1211" s="301">
        <v>0.34202898550724636</v>
      </c>
      <c r="L1211" s="15">
        <v>391</v>
      </c>
      <c r="M1211" t="s">
        <v>172</v>
      </c>
      <c r="N1211" s="15">
        <v>12.1212121212121</v>
      </c>
      <c r="O1211" s="15">
        <v>414</v>
      </c>
      <c r="P1211" t="s">
        <v>172</v>
      </c>
      <c r="Q1211" s="15">
        <v>12.1212121212121</v>
      </c>
      <c r="R1211" s="2">
        <v>490</v>
      </c>
      <c r="S1211" t="s">
        <v>172</v>
      </c>
      <c r="T1211" s="14">
        <v>11.515152</v>
      </c>
      <c r="U1211" s="301">
        <v>0.25319693094629159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1981</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1706</v>
      </c>
      <c r="C1214" s="304"/>
      <c r="D1214" s="304" t="s">
        <v>1707</v>
      </c>
      <c r="E1214" s="304" t="s">
        <v>1706</v>
      </c>
      <c r="F1214" s="304"/>
      <c r="G1214" s="304" t="s">
        <v>1707</v>
      </c>
      <c r="H1214" s="304" t="s">
        <v>1706</v>
      </c>
      <c r="I1214" s="304"/>
      <c r="J1214" s="304" t="s">
        <v>1707</v>
      </c>
      <c r="K1214" t="s">
        <v>172</v>
      </c>
      <c r="L1214" s="304" t="s">
        <v>1706</v>
      </c>
      <c r="M1214" s="304"/>
      <c r="N1214" s="304" t="s">
        <v>1707</v>
      </c>
      <c r="O1214" s="304" t="s">
        <v>1706</v>
      </c>
      <c r="P1214" s="304"/>
      <c r="Q1214" s="304" t="s">
        <v>1707</v>
      </c>
      <c r="R1214" s="304" t="s">
        <v>1706</v>
      </c>
      <c r="S1214" s="304"/>
      <c r="T1214" s="304" t="s">
        <v>1707</v>
      </c>
      <c r="U1214" t="s">
        <v>172</v>
      </c>
      <c r="V1214" s="207" t="s">
        <v>1706</v>
      </c>
      <c r="W1214" s="207"/>
      <c r="X1214" s="207" t="s">
        <v>1707</v>
      </c>
      <c r="Y1214" s="207" t="s">
        <v>1706</v>
      </c>
      <c r="Z1214" s="207"/>
      <c r="AA1214" s="207" t="s">
        <v>1707</v>
      </c>
      <c r="AB1214" s="207" t="s">
        <v>1706</v>
      </c>
      <c r="AC1214" s="207"/>
      <c r="AD1214" s="207" t="s">
        <v>1707</v>
      </c>
      <c r="AE1214" t="s">
        <v>172</v>
      </c>
    </row>
    <row r="1215" spans="1:31" x14ac:dyDescent="0.3">
      <c r="A1215" t="s">
        <v>174</v>
      </c>
      <c r="B1215" s="2">
        <v>8081</v>
      </c>
      <c r="C1215" t="s">
        <v>172</v>
      </c>
      <c r="D1215" s="2">
        <v>304.84848484848402</v>
      </c>
      <c r="E1215" s="2">
        <v>8016</v>
      </c>
      <c r="F1215" t="s">
        <v>172</v>
      </c>
      <c r="G1215" s="14">
        <v>314.54545454545399</v>
      </c>
      <c r="H1215" s="2">
        <v>8909</v>
      </c>
      <c r="I1215" t="s">
        <v>172</v>
      </c>
      <c r="J1215" s="14">
        <v>390.30304000000001</v>
      </c>
      <c r="K1215" s="301">
        <v>0.1024625665140453</v>
      </c>
      <c r="L1215" s="2">
        <v>26535</v>
      </c>
      <c r="M1215" t="s">
        <v>172</v>
      </c>
      <c r="N1215" s="2">
        <v>493.93939393939399</v>
      </c>
      <c r="O1215" s="2">
        <v>26275</v>
      </c>
      <c r="P1215" t="s">
        <v>172</v>
      </c>
      <c r="Q1215" s="14">
        <v>477.575757575757</v>
      </c>
      <c r="R1215" s="2">
        <v>29270</v>
      </c>
      <c r="S1215" t="s">
        <v>172</v>
      </c>
      <c r="T1215" s="14">
        <v>513.33330000000001</v>
      </c>
      <c r="U1215" s="301">
        <v>0.10307141511211608</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1982</v>
      </c>
      <c r="B1216" s="2">
        <v>5985</v>
      </c>
      <c r="C1216" s="301">
        <v>0.74062616012869698</v>
      </c>
      <c r="D1216" s="2">
        <v>280</v>
      </c>
      <c r="E1216" s="2">
        <v>5723</v>
      </c>
      <c r="F1216" s="301">
        <v>0.71394710578842313</v>
      </c>
      <c r="G1216" s="14">
        <v>275.75757575757501</v>
      </c>
      <c r="H1216" s="2">
        <v>6521</v>
      </c>
      <c r="I1216" s="301">
        <v>0.73195644853518915</v>
      </c>
      <c r="J1216" s="14">
        <v>330.30304000000001</v>
      </c>
      <c r="K1216" s="301">
        <v>8.9557226399331669E-2</v>
      </c>
      <c r="L1216" s="2">
        <v>18841</v>
      </c>
      <c r="M1216" s="301">
        <v>0.71004333898624461</v>
      </c>
      <c r="N1216" s="2">
        <v>492.72727272727201</v>
      </c>
      <c r="O1216" s="2">
        <v>17509</v>
      </c>
      <c r="P1216" s="301">
        <v>0.66637488106565179</v>
      </c>
      <c r="Q1216" s="14">
        <v>450.30303030303003</v>
      </c>
      <c r="R1216" s="2">
        <v>19549</v>
      </c>
      <c r="S1216" s="301">
        <v>0.66788520669627605</v>
      </c>
      <c r="T1216" s="14">
        <v>481.21212800000001</v>
      </c>
      <c r="U1216" s="301">
        <v>3.7577623268404012E-2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1983</v>
      </c>
      <c r="B1217" s="2">
        <v>120</v>
      </c>
      <c r="C1217" s="301">
        <v>1.484964732087613E-2</v>
      </c>
      <c r="D1217" s="2">
        <v>40.606060606060602</v>
      </c>
      <c r="E1217" s="2">
        <v>210</v>
      </c>
      <c r="F1217" s="301">
        <v>2.619760479041916E-2</v>
      </c>
      <c r="G1217" s="14">
        <v>54.545454545454497</v>
      </c>
      <c r="H1217" s="2">
        <v>307</v>
      </c>
      <c r="I1217" s="301">
        <v>3.4459535301380628E-2</v>
      </c>
      <c r="J1217" s="14">
        <v>82.424239999999998</v>
      </c>
      <c r="K1217" s="301">
        <v>1.5583333333333333</v>
      </c>
      <c r="L1217" s="2">
        <v>735</v>
      </c>
      <c r="M1217" s="301">
        <v>2.7699265121537593E-2</v>
      </c>
      <c r="N1217" s="2">
        <v>114.54545454545401</v>
      </c>
      <c r="O1217" s="2">
        <v>871</v>
      </c>
      <c r="P1217" s="301">
        <v>3.3149381541389154E-2</v>
      </c>
      <c r="Q1217" s="14">
        <v>118.181818181818</v>
      </c>
      <c r="R1217" s="2">
        <v>1052</v>
      </c>
      <c r="S1217" s="301">
        <v>3.5941236761188933E-2</v>
      </c>
      <c r="T1217" s="14">
        <v>149.090912</v>
      </c>
      <c r="U1217" s="301">
        <v>0.43129251700680271</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1984</v>
      </c>
      <c r="B1218" s="2">
        <v>386</v>
      </c>
      <c r="C1218" s="301">
        <v>4.7766365548818218E-2</v>
      </c>
      <c r="D1218" s="2">
        <v>73.939393939393895</v>
      </c>
      <c r="E1218" s="2">
        <v>497</v>
      </c>
      <c r="F1218" s="301">
        <v>6.2000998003992017E-2</v>
      </c>
      <c r="G1218" s="14">
        <v>104.84848484848401</v>
      </c>
      <c r="H1218" s="2">
        <v>1106</v>
      </c>
      <c r="I1218" s="301">
        <v>0.12414412391963184</v>
      </c>
      <c r="J1218" s="14">
        <v>204.24243200000001</v>
      </c>
      <c r="K1218" s="301">
        <v>1.8652849740932642</v>
      </c>
      <c r="L1218" s="2">
        <v>1524</v>
      </c>
      <c r="M1218" s="301">
        <v>5.7433578292820801E-2</v>
      </c>
      <c r="N1218" s="2">
        <v>144.84848484848399</v>
      </c>
      <c r="O1218" s="2">
        <v>1502</v>
      </c>
      <c r="P1218" s="301">
        <v>5.7164605137963842E-2</v>
      </c>
      <c r="Q1218" s="14">
        <v>142.42424242424201</v>
      </c>
      <c r="R1218" s="2">
        <v>2900</v>
      </c>
      <c r="S1218" s="301">
        <v>9.9077553809361119E-2</v>
      </c>
      <c r="T1218" s="14">
        <v>248.484848</v>
      </c>
      <c r="U1218" s="301">
        <v>0.90288713910761154</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1985</v>
      </c>
      <c r="B1219" s="2">
        <v>748</v>
      </c>
      <c r="C1219" s="301">
        <v>9.25628016334612E-2</v>
      </c>
      <c r="D1219" s="2">
        <v>123.030303030303</v>
      </c>
      <c r="E1219" s="2">
        <v>961</v>
      </c>
      <c r="F1219" s="301">
        <v>0.11988522954091817</v>
      </c>
      <c r="G1219" s="14">
        <v>168.48484848484799</v>
      </c>
      <c r="H1219" s="2">
        <v>1552</v>
      </c>
      <c r="I1219" s="301">
        <v>0.17420585924346166</v>
      </c>
      <c r="J1219" s="14">
        <v>181.81817599999999</v>
      </c>
      <c r="K1219" s="301">
        <v>1.0748663101604279</v>
      </c>
      <c r="L1219" s="2">
        <v>2143</v>
      </c>
      <c r="M1219" s="301">
        <v>8.0761258714904846E-2</v>
      </c>
      <c r="N1219" s="2">
        <v>217.575757575757</v>
      </c>
      <c r="O1219" s="2">
        <v>2834</v>
      </c>
      <c r="P1219" s="301">
        <v>0.10785918173168411</v>
      </c>
      <c r="Q1219" s="14">
        <v>229.09090909090901</v>
      </c>
      <c r="R1219" s="2">
        <v>3683</v>
      </c>
      <c r="S1219" s="301">
        <v>0.12582849333788862</v>
      </c>
      <c r="T1219" s="14">
        <v>303.63635299999999</v>
      </c>
      <c r="U1219" s="301">
        <v>0.71861875874941672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1986</v>
      </c>
      <c r="B1220" s="2">
        <v>717</v>
      </c>
      <c r="C1220" s="301">
        <v>8.8726642742234865E-2</v>
      </c>
      <c r="D1220" s="2">
        <v>98.787878787878796</v>
      </c>
      <c r="E1220" s="2">
        <v>838</v>
      </c>
      <c r="F1220" s="301">
        <v>0.10454091816367266</v>
      </c>
      <c r="G1220" s="14">
        <v>117.575757575757</v>
      </c>
      <c r="H1220" s="2">
        <v>979</v>
      </c>
      <c r="I1220" s="301">
        <v>0.10988887641710629</v>
      </c>
      <c r="J1220" s="14">
        <v>145.454544</v>
      </c>
      <c r="K1220" s="301">
        <v>0.36541143654114366</v>
      </c>
      <c r="L1220" s="2">
        <v>2483</v>
      </c>
      <c r="M1220" s="301">
        <v>9.3574524213303187E-2</v>
      </c>
      <c r="N1220" s="2">
        <v>173.333333333333</v>
      </c>
      <c r="O1220" s="2">
        <v>2408</v>
      </c>
      <c r="P1220" s="301">
        <v>9.1646051379638438E-2</v>
      </c>
      <c r="Q1220" s="14">
        <v>189.69696969696901</v>
      </c>
      <c r="R1220" s="2">
        <v>2867</v>
      </c>
      <c r="S1220" s="301">
        <v>9.7950119576358047E-2</v>
      </c>
      <c r="T1220" s="14">
        <v>241.21212800000001</v>
      </c>
      <c r="U1220" s="301">
        <v>0.15465163109142166</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1987</v>
      </c>
      <c r="B1221" s="2">
        <v>742</v>
      </c>
      <c r="C1221" s="301">
        <v>9.1820319267417405E-2</v>
      </c>
      <c r="D1221" s="2">
        <v>142.42424242424201</v>
      </c>
      <c r="E1221" s="2">
        <v>791</v>
      </c>
      <c r="F1221" s="301">
        <v>9.8677644710578841E-2</v>
      </c>
      <c r="G1221" s="14">
        <v>123.636363636363</v>
      </c>
      <c r="H1221" s="2">
        <v>571</v>
      </c>
      <c r="I1221" s="301">
        <v>6.4092490739701427E-2</v>
      </c>
      <c r="J1221" s="14">
        <v>125.454544</v>
      </c>
      <c r="K1221" s="301">
        <v>-0.23045822102425875</v>
      </c>
      <c r="L1221" s="2">
        <v>1999</v>
      </c>
      <c r="M1221" s="301">
        <v>7.5334463915583197E-2</v>
      </c>
      <c r="N1221" s="2">
        <v>212.72727272727201</v>
      </c>
      <c r="O1221" s="2">
        <v>2155</v>
      </c>
      <c r="P1221" s="301">
        <v>8.2017126546146527E-2</v>
      </c>
      <c r="Q1221" s="14">
        <v>203.636363636363</v>
      </c>
      <c r="R1221" s="2">
        <v>1773</v>
      </c>
      <c r="S1221" s="301">
        <v>6.0573966518619744E-2</v>
      </c>
      <c r="T1221" s="14">
        <v>203.03030000000001</v>
      </c>
      <c r="U1221" s="301">
        <v>-0.11305652826413207</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1988</v>
      </c>
      <c r="B1222" s="2">
        <v>675</v>
      </c>
      <c r="C1222" s="301">
        <v>8.352926617992823E-2</v>
      </c>
      <c r="D1222" s="2">
        <v>112.72727272727199</v>
      </c>
      <c r="E1222" s="2">
        <v>547</v>
      </c>
      <c r="F1222" s="301">
        <v>6.8238522954091815E-2</v>
      </c>
      <c r="G1222" s="14">
        <v>99.393939393939405</v>
      </c>
      <c r="H1222" s="2">
        <v>531</v>
      </c>
      <c r="I1222" s="301">
        <v>5.9602649006622516E-2</v>
      </c>
      <c r="J1222" s="14">
        <v>135.75756799999999</v>
      </c>
      <c r="K1222" s="301">
        <v>-0.21333333333333335</v>
      </c>
      <c r="L1222" s="2">
        <v>2067</v>
      </c>
      <c r="M1222" s="301">
        <v>7.7897117015262862E-2</v>
      </c>
      <c r="N1222" s="2">
        <v>170.90909090909</v>
      </c>
      <c r="O1222" s="2">
        <v>1643</v>
      </c>
      <c r="P1222" s="301">
        <v>6.253092293054234E-2</v>
      </c>
      <c r="Q1222" s="14">
        <v>152.72727272727201</v>
      </c>
      <c r="R1222" s="2">
        <v>1648</v>
      </c>
      <c r="S1222" s="301">
        <v>5.6303382302699011E-2</v>
      </c>
      <c r="T1222" s="14">
        <v>188.484848</v>
      </c>
      <c r="U1222" s="301">
        <v>-0.20270924044508951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1989</v>
      </c>
      <c r="B1223" s="2">
        <v>388</v>
      </c>
      <c r="C1223" s="301">
        <v>4.8013859670832819E-2</v>
      </c>
      <c r="D1223" s="2">
        <v>88.484848484848399</v>
      </c>
      <c r="E1223" s="2">
        <v>402</v>
      </c>
      <c r="F1223" s="301">
        <v>5.0149700598802395E-2</v>
      </c>
      <c r="G1223" s="14">
        <v>90.303030303030297</v>
      </c>
      <c r="H1223" s="2">
        <v>177</v>
      </c>
      <c r="I1223" s="301">
        <v>1.9867549668874173E-2</v>
      </c>
      <c r="J1223" s="14">
        <v>61.212119999999999</v>
      </c>
      <c r="K1223" s="301">
        <v>-0.54381443298969068</v>
      </c>
      <c r="L1223" s="2">
        <v>1513</v>
      </c>
      <c r="M1223" s="301">
        <v>5.701903146787262E-2</v>
      </c>
      <c r="N1223" s="2">
        <v>174.54545454545399</v>
      </c>
      <c r="O1223" s="2">
        <v>1134</v>
      </c>
      <c r="P1223" s="301">
        <v>4.3158896289248336E-2</v>
      </c>
      <c r="Q1223" s="14">
        <v>153.333333333333</v>
      </c>
      <c r="R1223" s="2">
        <v>1155</v>
      </c>
      <c r="S1223" s="301">
        <v>3.9460198155107616E-2</v>
      </c>
      <c r="T1223" s="14">
        <v>181.81817599999999</v>
      </c>
      <c r="U1223" s="301">
        <v>-0.23661599471249173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1990</v>
      </c>
      <c r="B1224" s="2">
        <v>665</v>
      </c>
      <c r="C1224" s="301">
        <v>8.2291795569855219E-2</v>
      </c>
      <c r="D1224" s="2">
        <v>123.030303030303</v>
      </c>
      <c r="E1224" s="2">
        <v>523</v>
      </c>
      <c r="F1224" s="301">
        <v>6.5244510978043915E-2</v>
      </c>
      <c r="G1224" s="14">
        <v>103.030303030303</v>
      </c>
      <c r="H1224" s="2">
        <v>363</v>
      </c>
      <c r="I1224" s="301">
        <v>4.07453137276911E-2</v>
      </c>
      <c r="J1224" s="14">
        <v>110.303032</v>
      </c>
      <c r="K1224" s="301">
        <v>-0.45413533834586467</v>
      </c>
      <c r="L1224" s="2">
        <v>1812</v>
      </c>
      <c r="M1224" s="301">
        <v>6.8287167891464107E-2</v>
      </c>
      <c r="N1224" s="2">
        <v>185.45454545454501</v>
      </c>
      <c r="O1224" s="2">
        <v>1540</v>
      </c>
      <c r="P1224" s="301">
        <v>5.8610846812559465E-2</v>
      </c>
      <c r="Q1224" s="14">
        <v>180</v>
      </c>
      <c r="R1224" s="2">
        <v>1468</v>
      </c>
      <c r="S1224" s="301">
        <v>5.0153741031773148E-2</v>
      </c>
      <c r="T1224" s="14">
        <v>176.96969999999999</v>
      </c>
      <c r="U1224" s="301">
        <v>-0.18984547461368653</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1991</v>
      </c>
      <c r="B1225" s="2">
        <v>1506</v>
      </c>
      <c r="C1225" s="301">
        <v>0.18636307387699541</v>
      </c>
      <c r="D1225" s="2">
        <v>164.84848484848399</v>
      </c>
      <c r="E1225" s="2">
        <v>910</v>
      </c>
      <c r="F1225" s="301">
        <v>0.11352295409181637</v>
      </c>
      <c r="G1225" s="14">
        <v>119.39393939393899</v>
      </c>
      <c r="H1225" s="2">
        <v>935</v>
      </c>
      <c r="I1225" s="301">
        <v>0.1049500505107195</v>
      </c>
      <c r="J1225" s="14">
        <v>144.24243200000001</v>
      </c>
      <c r="K1225" s="301">
        <v>-0.37915006640106241</v>
      </c>
      <c r="L1225" s="2">
        <v>4446</v>
      </c>
      <c r="M1225" s="301">
        <v>0.16755228942905595</v>
      </c>
      <c r="N1225" s="2">
        <v>217.575757575757</v>
      </c>
      <c r="O1225" s="2">
        <v>3024</v>
      </c>
      <c r="P1225" s="301">
        <v>0.11509039010466222</v>
      </c>
      <c r="Q1225" s="14">
        <v>210.90909090909</v>
      </c>
      <c r="R1225" s="2">
        <v>2953</v>
      </c>
      <c r="S1225" s="301">
        <v>0.10088828151691151</v>
      </c>
      <c r="T1225" s="14">
        <v>244.84848</v>
      </c>
      <c r="U1225" s="301">
        <v>-0.33580746738641476</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1992</v>
      </c>
      <c r="B1226" s="2">
        <v>38</v>
      </c>
      <c r="C1226" s="301">
        <v>4.7023883182774409E-3</v>
      </c>
      <c r="D1226" s="2">
        <v>29.090909090909101</v>
      </c>
      <c r="E1226" s="2">
        <v>44</v>
      </c>
      <c r="F1226" s="301">
        <v>5.4890219560878245E-3</v>
      </c>
      <c r="G1226" s="14">
        <v>30.909090909090899</v>
      </c>
      <c r="H1226" s="2">
        <v>0</v>
      </c>
      <c r="I1226" s="301">
        <v>0</v>
      </c>
      <c r="J1226" s="14">
        <v>18.787877999999999</v>
      </c>
      <c r="K1226" s="301">
        <v>-1</v>
      </c>
      <c r="L1226" s="2">
        <v>119</v>
      </c>
      <c r="M1226" s="301">
        <v>4.4846429244394196E-3</v>
      </c>
      <c r="N1226" s="2">
        <v>50.303030303030297</v>
      </c>
      <c r="O1226" s="2">
        <v>398</v>
      </c>
      <c r="P1226" s="301">
        <v>1.5147478591817316E-2</v>
      </c>
      <c r="Q1226" s="14">
        <v>116.363636363636</v>
      </c>
      <c r="R1226" s="2">
        <v>50</v>
      </c>
      <c r="S1226" s="301">
        <v>1.7082336863682953E-3</v>
      </c>
      <c r="T1226" s="14">
        <v>33.3333321</v>
      </c>
      <c r="U1226" s="301">
        <v>-0.57983193277310929</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1993</v>
      </c>
      <c r="B1227" s="2">
        <v>2096</v>
      </c>
      <c r="C1227" s="301">
        <v>0.25937383987130308</v>
      </c>
      <c r="D1227" s="2">
        <v>160.60606060606</v>
      </c>
      <c r="E1227" s="2">
        <v>2293</v>
      </c>
      <c r="F1227" s="301">
        <v>0.28605289421157687</v>
      </c>
      <c r="G1227" s="14">
        <v>189.69696969696901</v>
      </c>
      <c r="H1227" s="2">
        <v>2388</v>
      </c>
      <c r="I1227" s="301">
        <v>0.26804355146481085</v>
      </c>
      <c r="J1227" s="14">
        <v>236.96969999999999</v>
      </c>
      <c r="K1227" s="301">
        <v>0.13931297709923665</v>
      </c>
      <c r="L1227" s="2">
        <v>7694</v>
      </c>
      <c r="M1227" s="301">
        <v>0.28995666101375539</v>
      </c>
      <c r="N1227" s="2">
        <v>326.666666666666</v>
      </c>
      <c r="O1227" s="2">
        <v>8766</v>
      </c>
      <c r="P1227" s="301">
        <v>0.33362511893434826</v>
      </c>
      <c r="Q1227" s="14">
        <v>320.60606060606</v>
      </c>
      <c r="R1227" s="2">
        <v>9721</v>
      </c>
      <c r="S1227" s="301">
        <v>0.33211479330372395</v>
      </c>
      <c r="T1227" s="14">
        <v>338.18182400000001</v>
      </c>
      <c r="U1227" s="301">
        <v>0.26345204055107874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1983</v>
      </c>
      <c r="B1228" s="2">
        <v>863</v>
      </c>
      <c r="C1228" s="301">
        <v>0.10679371364930083</v>
      </c>
      <c r="D1228" s="2">
        <v>124.24242424242399</v>
      </c>
      <c r="E1228" s="2">
        <v>1180</v>
      </c>
      <c r="F1228" s="301">
        <v>0.14720558882235529</v>
      </c>
      <c r="G1228" s="14">
        <v>141.21212121212099</v>
      </c>
      <c r="H1228" s="2">
        <v>1091</v>
      </c>
      <c r="I1228" s="301">
        <v>0.12246043326972725</v>
      </c>
      <c r="J1228" s="14">
        <v>195.15152</v>
      </c>
      <c r="K1228" s="301">
        <v>0.26419466975666278</v>
      </c>
      <c r="L1228" s="2">
        <v>3079</v>
      </c>
      <c r="M1228" s="301">
        <v>0.11603542491049557</v>
      </c>
      <c r="N1228" s="2">
        <v>215.75757575757501</v>
      </c>
      <c r="O1228" s="2">
        <v>3820</v>
      </c>
      <c r="P1228" s="301">
        <v>0.14538534728829686</v>
      </c>
      <c r="Q1228" s="14">
        <v>223.636363636363</v>
      </c>
      <c r="R1228" s="2">
        <v>4910</v>
      </c>
      <c r="S1228" s="301">
        <v>0.1677485480013666</v>
      </c>
      <c r="T1228" s="14">
        <v>304.24243200000001</v>
      </c>
      <c r="U1228" s="301">
        <v>0.59467359532315689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1984</v>
      </c>
      <c r="B1229" s="2">
        <v>374</v>
      </c>
      <c r="C1229" s="301">
        <v>4.62814008167306E-2</v>
      </c>
      <c r="D1229" s="2">
        <v>73.939393939393895</v>
      </c>
      <c r="E1229" s="2">
        <v>271</v>
      </c>
      <c r="F1229" s="301">
        <v>3.3807385229540916E-2</v>
      </c>
      <c r="G1229" s="2">
        <v>61.818181818181799</v>
      </c>
      <c r="H1229" s="2">
        <v>381</v>
      </c>
      <c r="I1229" s="301">
        <v>4.2765742507576608E-2</v>
      </c>
      <c r="J1229" s="14">
        <v>86.060609999999997</v>
      </c>
      <c r="K1229" s="301">
        <v>1.871657754010695E-2</v>
      </c>
      <c r="L1229" s="2">
        <v>1512</v>
      </c>
      <c r="M1229" s="301">
        <v>5.6981345392877331E-2</v>
      </c>
      <c r="N1229" s="2">
        <v>133.939393939393</v>
      </c>
      <c r="O1229" s="2">
        <v>1628</v>
      </c>
      <c r="P1229" s="301">
        <v>6.1960038058991439E-2</v>
      </c>
      <c r="Q1229" s="2">
        <v>174.54545454545399</v>
      </c>
      <c r="R1229" s="2">
        <v>1583</v>
      </c>
      <c r="S1229" s="301">
        <v>5.4082678510420222E-2</v>
      </c>
      <c r="T1229" s="14">
        <v>183.03030000000001</v>
      </c>
      <c r="U1229" s="301">
        <v>4.6957671957671955E-2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1985</v>
      </c>
      <c r="B1230" s="2">
        <v>285</v>
      </c>
      <c r="C1230" s="301">
        <v>3.5267912387080803E-2</v>
      </c>
      <c r="D1230" s="2">
        <v>64.242424242424207</v>
      </c>
      <c r="E1230" s="2">
        <v>311</v>
      </c>
      <c r="F1230" s="301">
        <v>3.8797405189620757E-2</v>
      </c>
      <c r="G1230" s="14">
        <v>84.848484848484802</v>
      </c>
      <c r="H1230" s="2">
        <v>394</v>
      </c>
      <c r="I1230" s="301">
        <v>4.4224941070827251E-2</v>
      </c>
      <c r="J1230" s="14">
        <v>118.78788</v>
      </c>
      <c r="K1230" s="301">
        <v>0.38245614035087722</v>
      </c>
      <c r="L1230" s="2">
        <v>834</v>
      </c>
      <c r="M1230" s="301">
        <v>3.1430186546071229E-2</v>
      </c>
      <c r="N1230" s="2">
        <v>112.121212121212</v>
      </c>
      <c r="O1230" s="2">
        <v>903</v>
      </c>
      <c r="P1230" s="301">
        <v>3.4367269267364414E-2</v>
      </c>
      <c r="Q1230" s="14">
        <v>118.787878787878</v>
      </c>
      <c r="R1230" s="2">
        <v>1146</v>
      </c>
      <c r="S1230" s="301">
        <v>3.9152716091561325E-2</v>
      </c>
      <c r="T1230" s="14">
        <v>167.878784</v>
      </c>
      <c r="U1230" s="301">
        <v>0.37410071942446044</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1986</v>
      </c>
      <c r="B1231" s="2">
        <v>113</v>
      </c>
      <c r="C1231" s="301">
        <v>1.3983417893825022E-2</v>
      </c>
      <c r="D1231" s="2">
        <v>43.030303030303003</v>
      </c>
      <c r="E1231" s="2">
        <v>97</v>
      </c>
      <c r="F1231" s="301">
        <v>1.2100798403193613E-2</v>
      </c>
      <c r="G1231" s="14">
        <v>43.030303030303003</v>
      </c>
      <c r="H1231" s="2">
        <v>83</v>
      </c>
      <c r="I1231" s="301">
        <v>9.3164215961387357E-3</v>
      </c>
      <c r="J1231" s="14">
        <v>37.5757561</v>
      </c>
      <c r="K1231" s="301">
        <v>-0.26548672566371684</v>
      </c>
      <c r="L1231" s="2">
        <v>578</v>
      </c>
      <c r="M1231" s="301">
        <v>2.178255134727718E-2</v>
      </c>
      <c r="N1231" s="2">
        <v>88.484848484848399</v>
      </c>
      <c r="O1231" s="2">
        <v>538</v>
      </c>
      <c r="P1231" s="301">
        <v>2.0475737392959086E-2</v>
      </c>
      <c r="Q1231" s="14">
        <v>92.727272727272705</v>
      </c>
      <c r="R1231" s="2">
        <v>548</v>
      </c>
      <c r="S1231" s="301">
        <v>1.8722241202596517E-2</v>
      </c>
      <c r="T1231" s="14">
        <v>102.42424</v>
      </c>
      <c r="U1231" s="301">
        <v>-5.1903114186851208E-2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1987</v>
      </c>
      <c r="B1232" s="2">
        <v>39</v>
      </c>
      <c r="C1232" s="301">
        <v>4.8261353792847421E-3</v>
      </c>
      <c r="D1232" s="2">
        <v>21.2121212121212</v>
      </c>
      <c r="E1232" s="2">
        <v>119</v>
      </c>
      <c r="F1232" s="301">
        <v>1.4845309381237525E-2</v>
      </c>
      <c r="G1232" s="14">
        <v>52.121212121212103</v>
      </c>
      <c r="H1232" s="2">
        <v>82</v>
      </c>
      <c r="I1232" s="301">
        <v>9.2041755528117636E-3</v>
      </c>
      <c r="J1232" s="14">
        <v>50.9090919</v>
      </c>
      <c r="K1232" s="301">
        <v>1.1025641025641026</v>
      </c>
      <c r="L1232" s="2">
        <v>276</v>
      </c>
      <c r="M1232" s="301">
        <v>1.0401356698699831E-2</v>
      </c>
      <c r="N1232" s="2">
        <v>67.878787878787804</v>
      </c>
      <c r="O1232" s="2">
        <v>450</v>
      </c>
      <c r="P1232" s="301">
        <v>1.7126546146527116E-2</v>
      </c>
      <c r="Q1232" s="14">
        <v>88.484848484848399</v>
      </c>
      <c r="R1232" s="2">
        <v>289</v>
      </c>
      <c r="S1232" s="301">
        <v>9.8735907072087462E-3</v>
      </c>
      <c r="T1232" s="14">
        <v>76.363640000000004</v>
      </c>
      <c r="U1232" s="301">
        <v>4.710144927536232E-2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1988</v>
      </c>
      <c r="B1233" s="2">
        <v>85</v>
      </c>
      <c r="C1233" s="301">
        <v>1.0518500185620592E-2</v>
      </c>
      <c r="D1233" s="2">
        <v>34.545454545454497</v>
      </c>
      <c r="E1233" s="2">
        <v>68</v>
      </c>
      <c r="F1233" s="301">
        <v>8.4830339321357289E-3</v>
      </c>
      <c r="G1233" s="14">
        <v>32.121212121212103</v>
      </c>
      <c r="H1233" s="2">
        <v>40</v>
      </c>
      <c r="I1233" s="301">
        <v>4.4898417330789088E-3</v>
      </c>
      <c r="J1233" s="14">
        <v>27.272728000000001</v>
      </c>
      <c r="K1233" s="301">
        <v>-0.52941176470588236</v>
      </c>
      <c r="L1233" s="2">
        <v>381</v>
      </c>
      <c r="M1233" s="301">
        <v>1.43583945732052E-2</v>
      </c>
      <c r="N1233" s="2">
        <v>72.121212121212096</v>
      </c>
      <c r="O1233" s="2">
        <v>249</v>
      </c>
      <c r="P1233" s="301">
        <v>9.4766888677450048E-3</v>
      </c>
      <c r="Q1233" s="14">
        <v>55.151515151515099</v>
      </c>
      <c r="R1233" s="2">
        <v>254</v>
      </c>
      <c r="S1233" s="301">
        <v>8.6778271267509387E-3</v>
      </c>
      <c r="T1233" s="14">
        <v>60.606059999999999</v>
      </c>
      <c r="U1233" s="301">
        <v>-0.33333333333333331</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1989</v>
      </c>
      <c r="B1234" s="2">
        <v>63</v>
      </c>
      <c r="C1234" s="301">
        <v>7.7960648434599678E-3</v>
      </c>
      <c r="D1234" s="2">
        <v>29.090909090909101</v>
      </c>
      <c r="E1234" s="2">
        <v>106</v>
      </c>
      <c r="F1234" s="301">
        <v>1.3223552894211578E-2</v>
      </c>
      <c r="G1234" s="14">
        <v>49.090909090909101</v>
      </c>
      <c r="H1234" s="2">
        <v>47</v>
      </c>
      <c r="I1234" s="301">
        <v>5.2755640363677178E-3</v>
      </c>
      <c r="J1234" s="14">
        <v>32.727271999999999</v>
      </c>
      <c r="K1234" s="301">
        <v>-0.25396825396825395</v>
      </c>
      <c r="L1234" s="2">
        <v>200</v>
      </c>
      <c r="M1234" s="301">
        <v>7.5372149990578481E-3</v>
      </c>
      <c r="N1234" s="2">
        <v>62.424242424242401</v>
      </c>
      <c r="O1234" s="2">
        <v>218</v>
      </c>
      <c r="P1234" s="301">
        <v>8.2968601332064698E-3</v>
      </c>
      <c r="Q1234" s="14">
        <v>58.787878787878803</v>
      </c>
      <c r="R1234" s="2">
        <v>141</v>
      </c>
      <c r="S1234" s="301">
        <v>4.817218995558592E-3</v>
      </c>
      <c r="T1234" s="14">
        <v>55.151516000000001</v>
      </c>
      <c r="U1234" s="301">
        <v>-0.29499999999999998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1990</v>
      </c>
      <c r="B1235" s="2">
        <v>72</v>
      </c>
      <c r="C1235" s="301">
        <v>8.909788392525677E-3</v>
      </c>
      <c r="D1235" s="2">
        <v>34.545454545454497</v>
      </c>
      <c r="E1235" s="2">
        <v>46</v>
      </c>
      <c r="F1235" s="301">
        <v>5.7385229540918162E-3</v>
      </c>
      <c r="G1235" s="14">
        <v>24.2424242424242</v>
      </c>
      <c r="H1235" s="2">
        <v>88</v>
      </c>
      <c r="I1235" s="301">
        <v>9.8776518127735996E-3</v>
      </c>
      <c r="J1235" s="14">
        <v>31.515152</v>
      </c>
      <c r="K1235" s="301">
        <v>0.22222222222222221</v>
      </c>
      <c r="L1235" s="2">
        <v>226</v>
      </c>
      <c r="M1235" s="301">
        <v>8.5170529489353684E-3</v>
      </c>
      <c r="N1235" s="2">
        <v>50.303030303030297</v>
      </c>
      <c r="O1235" s="2">
        <v>278</v>
      </c>
      <c r="P1235" s="301">
        <v>1.0580399619410086E-2</v>
      </c>
      <c r="Q1235" s="14">
        <v>53.3333333333333</v>
      </c>
      <c r="R1235" s="2">
        <v>214</v>
      </c>
      <c r="S1235" s="301">
        <v>7.311240177656303E-3</v>
      </c>
      <c r="T1235" s="14">
        <v>66.060609999999997</v>
      </c>
      <c r="U1235" s="301">
        <v>-5.3097345132743362E-2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1991</v>
      </c>
      <c r="B1236" s="2">
        <v>169</v>
      </c>
      <c r="C1236" s="301">
        <v>2.0913253310233883E-2</v>
      </c>
      <c r="D1236" s="2">
        <v>55.151515151515099</v>
      </c>
      <c r="E1236" s="2">
        <v>60</v>
      </c>
      <c r="F1236" s="301">
        <v>7.4850299401197605E-3</v>
      </c>
      <c r="G1236" s="14">
        <v>26.6666666666666</v>
      </c>
      <c r="H1236" s="2">
        <v>144</v>
      </c>
      <c r="I1236" s="301">
        <v>1.6163430239084071E-2</v>
      </c>
      <c r="J1236" s="14">
        <v>53.3333321</v>
      </c>
      <c r="K1236" s="301">
        <v>-0.14792899408284024</v>
      </c>
      <c r="L1236" s="2">
        <v>522</v>
      </c>
      <c r="M1236" s="301">
        <v>1.9672131147540985E-2</v>
      </c>
      <c r="N1236" s="2">
        <v>100</v>
      </c>
      <c r="O1236" s="2">
        <v>526</v>
      </c>
      <c r="P1236" s="301">
        <v>2.0019029495718363E-2</v>
      </c>
      <c r="Q1236" s="14">
        <v>101.818181818181</v>
      </c>
      <c r="R1236" s="2">
        <v>554</v>
      </c>
      <c r="S1236" s="301">
        <v>1.8927229244960712E-2</v>
      </c>
      <c r="T1236" s="14">
        <v>129.69697600000001</v>
      </c>
      <c r="U1236" s="301">
        <v>6.1302681992337162E-2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1992</v>
      </c>
      <c r="B1237" s="2">
        <v>33</v>
      </c>
      <c r="C1237" s="301">
        <v>4.0836530132409357E-3</v>
      </c>
      <c r="D1237" s="2">
        <v>22.424242424242401</v>
      </c>
      <c r="E1237" s="2">
        <v>35</v>
      </c>
      <c r="F1237" s="301">
        <v>4.3662674650698603E-3</v>
      </c>
      <c r="G1237" s="14">
        <v>24.2424242424242</v>
      </c>
      <c r="H1237" s="2">
        <v>38</v>
      </c>
      <c r="I1237" s="301">
        <v>4.2653496464249638E-3</v>
      </c>
      <c r="J1237" s="14">
        <v>27.878788</v>
      </c>
      <c r="K1237" s="301">
        <v>0.15151515151515152</v>
      </c>
      <c r="L1237" s="2">
        <v>86</v>
      </c>
      <c r="M1237" s="301">
        <v>3.2410024495948746E-3</v>
      </c>
      <c r="N1237" s="2">
        <v>34.545454545454497</v>
      </c>
      <c r="O1237" s="2">
        <v>156</v>
      </c>
      <c r="P1237" s="301">
        <v>5.9372026641294007E-3</v>
      </c>
      <c r="Q1237" s="14">
        <v>47.878787878787797</v>
      </c>
      <c r="R1237" s="2">
        <v>82</v>
      </c>
      <c r="S1237" s="301">
        <v>2.8015032456440042E-3</v>
      </c>
      <c r="T1237" s="14">
        <v>33.939392099999999</v>
      </c>
      <c r="U1237" s="301">
        <v>-4.6511627906976744E-2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1994</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1706</v>
      </c>
      <c r="C1240" s="304"/>
      <c r="D1240" s="304" t="s">
        <v>1707</v>
      </c>
      <c r="E1240" s="304" t="s">
        <v>1706</v>
      </c>
      <c r="F1240" s="304"/>
      <c r="G1240" s="304" t="s">
        <v>1707</v>
      </c>
      <c r="H1240" s="304" t="s">
        <v>1706</v>
      </c>
      <c r="I1240" s="304"/>
      <c r="J1240" s="304" t="s">
        <v>1707</v>
      </c>
      <c r="K1240" t="s">
        <v>172</v>
      </c>
      <c r="L1240" s="304" t="s">
        <v>1706</v>
      </c>
      <c r="M1240" s="304"/>
      <c r="N1240" s="304" t="s">
        <v>1707</v>
      </c>
      <c r="O1240" s="304" t="s">
        <v>1706</v>
      </c>
      <c r="P1240" s="304"/>
      <c r="Q1240" s="304" t="s">
        <v>1707</v>
      </c>
      <c r="R1240" s="304" t="s">
        <v>1706</v>
      </c>
      <c r="S1240" s="304"/>
      <c r="T1240" s="304" t="s">
        <v>1707</v>
      </c>
      <c r="U1240" t="s">
        <v>172</v>
      </c>
      <c r="V1240" s="207" t="s">
        <v>1706</v>
      </c>
      <c r="W1240" s="207"/>
      <c r="X1240" s="207" t="s">
        <v>1707</v>
      </c>
      <c r="Y1240" s="207" t="s">
        <v>1706</v>
      </c>
      <c r="Z1240" s="207"/>
      <c r="AA1240" s="207" t="s">
        <v>1707</v>
      </c>
      <c r="AB1240" s="207" t="s">
        <v>1706</v>
      </c>
      <c r="AC1240" s="207"/>
      <c r="AD1240" s="207" t="s">
        <v>1707</v>
      </c>
      <c r="AE1240" t="s">
        <v>172</v>
      </c>
    </row>
    <row r="1241" spans="1:31" x14ac:dyDescent="0.3">
      <c r="A1241" t="s">
        <v>1995</v>
      </c>
      <c r="B1241" s="14">
        <v>27.6</v>
      </c>
      <c r="C1241" t="s">
        <v>172</v>
      </c>
      <c r="D1241" s="14">
        <v>1.0909090909090899</v>
      </c>
      <c r="E1241" s="14">
        <v>22.9</v>
      </c>
      <c r="F1241" t="s">
        <v>172</v>
      </c>
      <c r="G1241" s="14">
        <v>1.0909090909090899</v>
      </c>
      <c r="H1241" s="14">
        <v>19</v>
      </c>
      <c r="I1241" t="s">
        <v>172</v>
      </c>
      <c r="J1241" s="14">
        <v>0.48484850000000002</v>
      </c>
      <c r="K1241" s="301">
        <v>-0.31159420289855078</v>
      </c>
      <c r="L1241" s="14">
        <v>25.6</v>
      </c>
      <c r="M1241" t="s">
        <v>172</v>
      </c>
      <c r="N1241" s="14">
        <v>0.66666666666665997</v>
      </c>
      <c r="O1241" s="14">
        <v>22.2</v>
      </c>
      <c r="P1241" t="s">
        <v>172</v>
      </c>
      <c r="Q1241" s="14">
        <v>0.60606060606059997</v>
      </c>
      <c r="R1241" s="14">
        <v>19.3</v>
      </c>
      <c r="S1241" t="s">
        <v>172</v>
      </c>
      <c r="T1241" s="14">
        <v>0.42424243699999997</v>
      </c>
      <c r="U1241" s="301">
        <v>-0.24609375000000003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1996</v>
      </c>
      <c r="B1242" s="14">
        <v>31.9</v>
      </c>
      <c r="C1242" t="s">
        <v>172</v>
      </c>
      <c r="D1242" s="14">
        <v>1.39393939393939</v>
      </c>
      <c r="E1242" s="14">
        <v>27.1</v>
      </c>
      <c r="F1242" t="s">
        <v>172</v>
      </c>
      <c r="G1242" s="14">
        <v>1.0909090909090899</v>
      </c>
      <c r="H1242" s="14">
        <v>21.5</v>
      </c>
      <c r="I1242" t="s">
        <v>172</v>
      </c>
      <c r="J1242" s="14">
        <v>0.84848489999999999</v>
      </c>
      <c r="K1242" s="301">
        <v>-0.32601880877742945</v>
      </c>
      <c r="L1242" s="14">
        <v>31.2</v>
      </c>
      <c r="M1242" t="s">
        <v>172</v>
      </c>
      <c r="N1242" s="14">
        <v>0.72727272727271997</v>
      </c>
      <c r="O1242" s="14">
        <v>27.2</v>
      </c>
      <c r="P1242" t="s">
        <v>172</v>
      </c>
      <c r="Q1242" s="14">
        <v>0.66666666666665997</v>
      </c>
      <c r="R1242" s="14">
        <v>23.7</v>
      </c>
      <c r="S1242" t="s">
        <v>172</v>
      </c>
      <c r="T1242" s="14">
        <v>0.48484850000000002</v>
      </c>
      <c r="U1242" s="301">
        <v>-0.24038461538461539</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1997</v>
      </c>
      <c r="B1243" s="14">
        <v>12.3</v>
      </c>
      <c r="C1243" t="s">
        <v>172</v>
      </c>
      <c r="D1243" s="14">
        <v>1.2121212121212099</v>
      </c>
      <c r="E1243" s="14">
        <v>10</v>
      </c>
      <c r="F1243" t="s">
        <v>172</v>
      </c>
      <c r="G1243" t="s">
        <v>172</v>
      </c>
      <c r="H1243" s="14">
        <v>11.1</v>
      </c>
      <c r="I1243" t="s">
        <v>172</v>
      </c>
      <c r="J1243" s="14">
        <v>1.63636363</v>
      </c>
      <c r="K1243" s="301">
        <v>-9.7560975609756184E-2</v>
      </c>
      <c r="L1243" s="14">
        <v>12.4</v>
      </c>
      <c r="M1243" t="s">
        <v>172</v>
      </c>
      <c r="N1243" s="14">
        <v>0.54545454545453997</v>
      </c>
      <c r="O1243" s="14">
        <v>11.5</v>
      </c>
      <c r="P1243" t="s">
        <v>172</v>
      </c>
      <c r="Q1243" s="14">
        <v>0.48484848484847998</v>
      </c>
      <c r="R1243" s="14">
        <v>9</v>
      </c>
      <c r="S1243" t="s">
        <v>172</v>
      </c>
      <c r="T1243" t="s">
        <v>172</v>
      </c>
      <c r="U1243" s="301">
        <v>-0.27419354838709681</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1998</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1706</v>
      </c>
      <c r="C1246" s="304"/>
      <c r="D1246" s="304" t="s">
        <v>1707</v>
      </c>
      <c r="E1246" s="304" t="s">
        <v>1706</v>
      </c>
      <c r="F1246" s="304"/>
      <c r="G1246" s="304" t="s">
        <v>1707</v>
      </c>
      <c r="H1246" s="304" t="s">
        <v>1706</v>
      </c>
      <c r="I1246" s="304"/>
      <c r="J1246" s="304" t="s">
        <v>1707</v>
      </c>
      <c r="K1246" t="s">
        <v>172</v>
      </c>
      <c r="L1246" s="304" t="s">
        <v>1706</v>
      </c>
      <c r="M1246" s="304"/>
      <c r="N1246" s="304" t="s">
        <v>1707</v>
      </c>
      <c r="O1246" s="304" t="s">
        <v>1706</v>
      </c>
      <c r="P1246" s="304"/>
      <c r="Q1246" s="304" t="s">
        <v>1707</v>
      </c>
      <c r="R1246" s="304" t="s">
        <v>1706</v>
      </c>
      <c r="S1246" s="304"/>
      <c r="T1246" s="304" t="s">
        <v>1707</v>
      </c>
      <c r="U1246" t="s">
        <v>172</v>
      </c>
      <c r="V1246" s="207" t="s">
        <v>1706</v>
      </c>
      <c r="W1246" s="207"/>
      <c r="X1246" s="207" t="s">
        <v>1707</v>
      </c>
      <c r="Y1246" s="207" t="s">
        <v>1706</v>
      </c>
      <c r="Z1246" s="207"/>
      <c r="AA1246" s="207" t="s">
        <v>1707</v>
      </c>
      <c r="AB1246" s="207" t="s">
        <v>1706</v>
      </c>
      <c r="AC1246" s="207"/>
      <c r="AD1246" s="207" t="s">
        <v>1707</v>
      </c>
      <c r="AE1246" t="s">
        <v>172</v>
      </c>
    </row>
    <row r="1247" spans="1:31" x14ac:dyDescent="0.3">
      <c r="A1247" t="s">
        <v>1999</v>
      </c>
      <c r="B1247" s="15">
        <v>972</v>
      </c>
      <c r="C1247" t="s">
        <v>172</v>
      </c>
      <c r="D1247" s="15">
        <v>18.181818181818102</v>
      </c>
      <c r="E1247" s="15">
        <v>949</v>
      </c>
      <c r="F1247" t="s">
        <v>172</v>
      </c>
      <c r="G1247" s="15">
        <v>15.151515151515101</v>
      </c>
      <c r="H1247" s="2">
        <v>1137</v>
      </c>
      <c r="I1247" t="s">
        <v>172</v>
      </c>
      <c r="J1247" s="14">
        <v>24.242424</v>
      </c>
      <c r="K1247" s="301">
        <v>0.16975308641975309</v>
      </c>
      <c r="L1247" s="15">
        <v>1051</v>
      </c>
      <c r="M1247" t="s">
        <v>172</v>
      </c>
      <c r="N1247" s="15">
        <v>23.030303030302999</v>
      </c>
      <c r="O1247" s="15">
        <v>1003</v>
      </c>
      <c r="P1247" t="s">
        <v>172</v>
      </c>
      <c r="Q1247" s="15">
        <v>16.969696969696901</v>
      </c>
      <c r="R1247" s="2">
        <v>1153</v>
      </c>
      <c r="S1247" t="s">
        <v>172</v>
      </c>
      <c r="T1247" s="14">
        <v>17.575758</v>
      </c>
      <c r="U1247" s="301">
        <v>9.7050428163653668E-2</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2000</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1706</v>
      </c>
      <c r="C1250" s="304"/>
      <c r="D1250" s="304" t="s">
        <v>1707</v>
      </c>
      <c r="E1250" s="304" t="s">
        <v>1706</v>
      </c>
      <c r="F1250" s="304"/>
      <c r="G1250" s="304" t="s">
        <v>1707</v>
      </c>
      <c r="H1250" s="304" t="s">
        <v>1706</v>
      </c>
      <c r="I1250" s="304"/>
      <c r="J1250" s="304" t="s">
        <v>1707</v>
      </c>
      <c r="K1250" t="s">
        <v>172</v>
      </c>
      <c r="L1250" s="304" t="s">
        <v>1706</v>
      </c>
      <c r="M1250" s="304"/>
      <c r="N1250" s="304" t="s">
        <v>1707</v>
      </c>
      <c r="O1250" s="304" t="s">
        <v>1706</v>
      </c>
      <c r="P1250" s="304"/>
      <c r="Q1250" s="304" t="s">
        <v>1707</v>
      </c>
      <c r="R1250" s="304" t="s">
        <v>1706</v>
      </c>
      <c r="S1250" s="304"/>
      <c r="T1250" s="304" t="s">
        <v>1707</v>
      </c>
      <c r="U1250" t="s">
        <v>172</v>
      </c>
      <c r="V1250" s="207" t="s">
        <v>1706</v>
      </c>
      <c r="W1250" s="207"/>
      <c r="X1250" s="207" t="s">
        <v>1707</v>
      </c>
      <c r="Y1250" s="207" t="s">
        <v>1706</v>
      </c>
      <c r="Z1250" s="207"/>
      <c r="AA1250" s="207" t="s">
        <v>1707</v>
      </c>
      <c r="AB1250" s="207" t="s">
        <v>1706</v>
      </c>
      <c r="AC1250" s="207"/>
      <c r="AD1250" s="207" t="s">
        <v>1707</v>
      </c>
      <c r="AE1250" t="s">
        <v>172</v>
      </c>
    </row>
    <row r="1251" spans="1:31" x14ac:dyDescent="0.3">
      <c r="A1251" t="s">
        <v>174</v>
      </c>
      <c r="B1251" s="2">
        <v>15857</v>
      </c>
      <c r="C1251" t="s">
        <v>172</v>
      </c>
      <c r="D1251" s="2">
        <v>297.575757575757</v>
      </c>
      <c r="E1251" s="2">
        <v>16791</v>
      </c>
      <c r="F1251" t="s">
        <v>172</v>
      </c>
      <c r="G1251" s="14">
        <v>318.18181818181802</v>
      </c>
      <c r="H1251" s="2">
        <v>17598</v>
      </c>
      <c r="I1251" t="s">
        <v>172</v>
      </c>
      <c r="J1251" s="14">
        <v>315.75757575757575</v>
      </c>
      <c r="K1251" s="301">
        <v>0.1097937819259633</v>
      </c>
      <c r="L1251" s="2">
        <v>42089</v>
      </c>
      <c r="M1251" t="s">
        <v>172</v>
      </c>
      <c r="N1251" s="2">
        <v>393.33333333333297</v>
      </c>
      <c r="O1251" s="2">
        <v>43159</v>
      </c>
      <c r="P1251" t="s">
        <v>172</v>
      </c>
      <c r="Q1251" s="14">
        <v>457.575757575757</v>
      </c>
      <c r="R1251" s="2">
        <v>44479</v>
      </c>
      <c r="S1251" t="s">
        <v>172</v>
      </c>
      <c r="T1251" s="14">
        <v>306.06060606060606</v>
      </c>
      <c r="U1251" s="301">
        <v>5.6784432987241319E-2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1588</v>
      </c>
      <c r="B1252" s="2">
        <v>8081</v>
      </c>
      <c r="C1252" s="301">
        <v>0.50961720375859243</v>
      </c>
      <c r="D1252" s="2">
        <v>304.84848484848402</v>
      </c>
      <c r="E1252" s="2">
        <v>8016</v>
      </c>
      <c r="F1252" s="301">
        <v>0.47739860639628373</v>
      </c>
      <c r="G1252" s="14">
        <v>314.54545454545399</v>
      </c>
      <c r="H1252" s="2">
        <v>8909</v>
      </c>
      <c r="I1252" s="301">
        <v>0.50625071030798952</v>
      </c>
      <c r="J1252" s="14">
        <v>390.30303030303031</v>
      </c>
      <c r="K1252" s="301">
        <v>0.1024625665140453</v>
      </c>
      <c r="L1252" s="2">
        <v>26535</v>
      </c>
      <c r="M1252" s="301">
        <v>0.6304497612202713</v>
      </c>
      <c r="N1252" s="2">
        <v>493.93939393939399</v>
      </c>
      <c r="O1252" s="2">
        <v>26275</v>
      </c>
      <c r="P1252" s="301">
        <v>0.6087953845084455</v>
      </c>
      <c r="Q1252" s="14">
        <v>477.575757575757</v>
      </c>
      <c r="R1252" s="2">
        <v>29270</v>
      </c>
      <c r="S1252" s="301">
        <v>0.65806335574091146</v>
      </c>
      <c r="T1252" s="14">
        <v>513.33333333333337</v>
      </c>
      <c r="U1252" s="301">
        <v>0.10307141511211608</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2001</v>
      </c>
      <c r="B1253" s="2">
        <v>100</v>
      </c>
      <c r="C1253" s="301">
        <v>6.3063631203884724E-3</v>
      </c>
      <c r="D1253" s="2">
        <v>47.272727272727202</v>
      </c>
      <c r="E1253" s="2">
        <v>105</v>
      </c>
      <c r="F1253" s="301">
        <v>6.2533500089333571E-3</v>
      </c>
      <c r="G1253" s="14">
        <v>41.818181818181799</v>
      </c>
      <c r="H1253" s="2">
        <v>104</v>
      </c>
      <c r="I1253" s="301">
        <v>5.9097624730082964E-3</v>
      </c>
      <c r="J1253" s="14">
        <v>48.484848484848484</v>
      </c>
      <c r="K1253" s="301">
        <v>0.04</v>
      </c>
      <c r="L1253" s="2">
        <v>366</v>
      </c>
      <c r="M1253" s="301">
        <v>8.6958587754520176E-3</v>
      </c>
      <c r="N1253" s="2">
        <v>81.212121212121204</v>
      </c>
      <c r="O1253" s="2">
        <v>872</v>
      </c>
      <c r="P1253" s="301">
        <v>2.0204360620032901E-2</v>
      </c>
      <c r="Q1253" s="14">
        <v>146.06060606060601</v>
      </c>
      <c r="R1253" s="2">
        <v>430</v>
      </c>
      <c r="S1253" s="301">
        <v>9.6674835315542166E-3</v>
      </c>
      <c r="T1253" s="14">
        <v>87.27272727272728</v>
      </c>
      <c r="U1253" s="301">
        <v>0.17486338797814208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2002</v>
      </c>
      <c r="B1254" s="2">
        <v>95</v>
      </c>
      <c r="C1254" s="301">
        <v>5.9910449643690482E-3</v>
      </c>
      <c r="D1254" s="2">
        <v>33.3333333333333</v>
      </c>
      <c r="E1254" s="2">
        <v>188</v>
      </c>
      <c r="F1254" s="301">
        <v>1.1196474301709249E-2</v>
      </c>
      <c r="G1254" s="14">
        <v>65.454545454545396</v>
      </c>
      <c r="H1254" s="2">
        <v>144</v>
      </c>
      <c r="I1254" s="301">
        <v>8.1827480395499485E-3</v>
      </c>
      <c r="J1254" s="14">
        <v>63.030303030303031</v>
      </c>
      <c r="K1254" s="301">
        <v>0.51578947368421058</v>
      </c>
      <c r="L1254" s="2">
        <v>457</v>
      </c>
      <c r="M1254" s="301">
        <v>1.0857943880823968E-2</v>
      </c>
      <c r="N1254" s="2">
        <v>91.515151515151501</v>
      </c>
      <c r="O1254" s="2">
        <v>531</v>
      </c>
      <c r="P1254" s="301">
        <v>1.2303343450960402E-2</v>
      </c>
      <c r="Q1254" s="14">
        <v>98.181818181818201</v>
      </c>
      <c r="R1254" s="2">
        <v>553</v>
      </c>
      <c r="S1254" s="301">
        <v>1.2432833471975539E-2</v>
      </c>
      <c r="T1254" s="14">
        <v>143.63636363636365</v>
      </c>
      <c r="U1254" s="301">
        <v>0.21006564551422319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1865</v>
      </c>
      <c r="B1255" s="2">
        <v>579</v>
      </c>
      <c r="C1255" s="301">
        <v>3.6513842467049251E-2</v>
      </c>
      <c r="D1255" s="2">
        <v>86.060606060606005</v>
      </c>
      <c r="E1255" s="2">
        <v>278</v>
      </c>
      <c r="F1255" s="301">
        <v>1.6556488595080698E-2</v>
      </c>
      <c r="G1255" s="14">
        <v>76.363636363636303</v>
      </c>
      <c r="H1255" s="2">
        <v>230</v>
      </c>
      <c r="I1255" s="301">
        <v>1.3069667007614501E-2</v>
      </c>
      <c r="J1255" s="14">
        <v>59.393939393939398</v>
      </c>
      <c r="K1255" s="301">
        <v>-0.60276338514680483</v>
      </c>
      <c r="L1255" s="2">
        <v>1218</v>
      </c>
      <c r="M1255" s="301">
        <v>2.8938677564209175E-2</v>
      </c>
      <c r="N1255" s="2">
        <v>150.30303030303</v>
      </c>
      <c r="O1255" s="2">
        <v>978</v>
      </c>
      <c r="P1255" s="301">
        <v>2.2660395282559836E-2</v>
      </c>
      <c r="Q1255" s="14">
        <v>127.87878787878699</v>
      </c>
      <c r="R1255" s="2">
        <v>730</v>
      </c>
      <c r="S1255" s="301">
        <v>1.6412239483801345E-2</v>
      </c>
      <c r="T1255" s="14">
        <v>132.12121212121212</v>
      </c>
      <c r="U1255" s="301">
        <v>-0.40065681444991791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1866</v>
      </c>
      <c r="B1256" s="2">
        <v>275</v>
      </c>
      <c r="C1256" s="301">
        <v>1.7342498581068299E-2</v>
      </c>
      <c r="D1256" s="2">
        <v>64.242424242424207</v>
      </c>
      <c r="E1256" s="2">
        <v>425</v>
      </c>
      <c r="F1256" s="301">
        <v>2.5311178607587397E-2</v>
      </c>
      <c r="G1256" s="14">
        <v>86.060606060606005</v>
      </c>
      <c r="H1256" s="2">
        <v>187</v>
      </c>
      <c r="I1256" s="301">
        <v>1.0626207523582225E-2</v>
      </c>
      <c r="J1256" s="14">
        <v>73.333333333333343</v>
      </c>
      <c r="K1256" s="301">
        <v>-0.32</v>
      </c>
      <c r="L1256" s="2">
        <v>909</v>
      </c>
      <c r="M1256" s="301">
        <v>2.159709187673739E-2</v>
      </c>
      <c r="N1256" s="2">
        <v>126.06060606060601</v>
      </c>
      <c r="O1256" s="2">
        <v>1102</v>
      </c>
      <c r="P1256" s="301">
        <v>2.5533492434949838E-2</v>
      </c>
      <c r="Q1256" s="14">
        <v>118.787878787878</v>
      </c>
      <c r="R1256" s="2">
        <v>626</v>
      </c>
      <c r="S1256" s="301">
        <v>1.4074057420355673E-2</v>
      </c>
      <c r="T1256" s="14">
        <v>118.18181818181819</v>
      </c>
      <c r="U1256" s="301">
        <v>-0.31133113311331134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1867</v>
      </c>
      <c r="B1257" s="2">
        <v>355</v>
      </c>
      <c r="C1257" s="301">
        <v>2.2387589077379075E-2</v>
      </c>
      <c r="D1257" s="2">
        <v>74.545454545454504</v>
      </c>
      <c r="E1257" s="2">
        <v>418</v>
      </c>
      <c r="F1257" s="301">
        <v>2.4894288606991839E-2</v>
      </c>
      <c r="G1257" s="14">
        <v>83.030303030303003</v>
      </c>
      <c r="H1257" s="2">
        <v>292</v>
      </c>
      <c r="I1257" s="301">
        <v>1.6592794635754061E-2</v>
      </c>
      <c r="J1257" s="14">
        <v>86.060606060606062</v>
      </c>
      <c r="K1257" s="301">
        <v>-0.17746478873239438</v>
      </c>
      <c r="L1257" s="2">
        <v>1106</v>
      </c>
      <c r="M1257" s="301">
        <v>2.627764974221293E-2</v>
      </c>
      <c r="N1257" s="2">
        <v>124.24242424242399</v>
      </c>
      <c r="O1257" s="2">
        <v>1311</v>
      </c>
      <c r="P1257" s="301">
        <v>3.0376051345026529E-2</v>
      </c>
      <c r="Q1257" s="14">
        <v>155.15151515151501</v>
      </c>
      <c r="R1257" s="2">
        <v>964</v>
      </c>
      <c r="S1257" s="301">
        <v>2.1673149126554103E-2</v>
      </c>
      <c r="T1257" s="14">
        <v>161.21212121212122</v>
      </c>
      <c r="U1257" s="301">
        <v>-0.12839059674502712</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2003</v>
      </c>
      <c r="B1258" s="2">
        <v>771</v>
      </c>
      <c r="C1258" s="301">
        <v>4.8622059658195119E-2</v>
      </c>
      <c r="D1258" s="2">
        <v>116.969696969697</v>
      </c>
      <c r="E1258" s="2">
        <v>765</v>
      </c>
      <c r="F1258" s="301">
        <v>4.5560121493657318E-2</v>
      </c>
      <c r="G1258" s="14">
        <v>124.24242424242399</v>
      </c>
      <c r="H1258" s="2">
        <v>872</v>
      </c>
      <c r="I1258" s="301">
        <v>4.9551085350608023E-2</v>
      </c>
      <c r="J1258" s="14">
        <v>167.27272727272728</v>
      </c>
      <c r="K1258" s="301">
        <v>0.13099870298313879</v>
      </c>
      <c r="L1258" s="2">
        <v>2806</v>
      </c>
      <c r="M1258" s="301">
        <v>6.6668250611798804E-2</v>
      </c>
      <c r="N1258" s="2">
        <v>230.90909090909</v>
      </c>
      <c r="O1258" s="2">
        <v>2452</v>
      </c>
      <c r="P1258" s="301">
        <v>5.6813179174679672E-2</v>
      </c>
      <c r="Q1258" s="14">
        <v>213.333333333333</v>
      </c>
      <c r="R1258" s="2">
        <v>2249</v>
      </c>
      <c r="S1258" s="301">
        <v>5.0563187122012639E-2</v>
      </c>
      <c r="T1258" s="14">
        <v>209.69696969696972</v>
      </c>
      <c r="U1258" s="301">
        <v>-0.19850320741268709</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2004</v>
      </c>
      <c r="B1259" s="2">
        <v>1503</v>
      </c>
      <c r="C1259" s="301">
        <v>9.4784637699438734E-2</v>
      </c>
      <c r="D1259" s="2">
        <v>158.18181818181799</v>
      </c>
      <c r="E1259" s="2">
        <v>1388</v>
      </c>
      <c r="F1259" s="301">
        <v>8.2663331546661903E-2</v>
      </c>
      <c r="G1259" s="14">
        <v>166.06060606060601</v>
      </c>
      <c r="H1259" s="2">
        <v>890</v>
      </c>
      <c r="I1259" s="301">
        <v>5.0573928855551765E-2</v>
      </c>
      <c r="J1259" s="14">
        <v>161.21212121212122</v>
      </c>
      <c r="K1259" s="301">
        <v>-0.40785096473719229</v>
      </c>
      <c r="L1259" s="2">
        <v>4215</v>
      </c>
      <c r="M1259" s="301">
        <v>0.10014493097959087</v>
      </c>
      <c r="N1259" s="2">
        <v>251.51515151515099</v>
      </c>
      <c r="O1259" s="2">
        <v>3918</v>
      </c>
      <c r="P1259" s="301">
        <v>9.0780601960193705E-2</v>
      </c>
      <c r="Q1259" s="14">
        <v>266.666666666666</v>
      </c>
      <c r="R1259" s="2">
        <v>3317</v>
      </c>
      <c r="S1259" s="301">
        <v>7.4574518312012408E-2</v>
      </c>
      <c r="T1259" s="14">
        <v>256.36363636363637</v>
      </c>
      <c r="U1259" s="301">
        <v>-0.21304863582443653</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2005</v>
      </c>
      <c r="B1260" s="2">
        <v>1916</v>
      </c>
      <c r="C1260" s="301">
        <v>0.12082991738664313</v>
      </c>
      <c r="D1260" s="2">
        <v>164.84848484848399</v>
      </c>
      <c r="E1260" s="2">
        <v>1802</v>
      </c>
      <c r="F1260" s="301">
        <v>0.10731939729617057</v>
      </c>
      <c r="G1260" s="14">
        <v>183.030303030303</v>
      </c>
      <c r="H1260" s="2">
        <v>1560</v>
      </c>
      <c r="I1260" s="301">
        <v>8.8646437095124445E-2</v>
      </c>
      <c r="J1260" s="14">
        <v>201.81818181818184</v>
      </c>
      <c r="K1260" s="301">
        <v>-0.18580375782881003</v>
      </c>
      <c r="L1260" s="2">
        <v>5555</v>
      </c>
      <c r="M1260" s="301">
        <v>0.13198222813561739</v>
      </c>
      <c r="N1260" s="2">
        <v>282.42424242424198</v>
      </c>
      <c r="O1260" s="2">
        <v>5607</v>
      </c>
      <c r="P1260" s="301">
        <v>0.12991496559234458</v>
      </c>
      <c r="Q1260" s="14">
        <v>328.48484848484799</v>
      </c>
      <c r="R1260" s="2">
        <v>5380</v>
      </c>
      <c r="S1260" s="301">
        <v>0.12095595674363183</v>
      </c>
      <c r="T1260" s="14">
        <v>341.21212121212125</v>
      </c>
      <c r="U1260" s="301">
        <v>-3.1503150315031501E-2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1875</v>
      </c>
      <c r="B1261" s="2">
        <v>1140</v>
      </c>
      <c r="C1261" s="301">
        <v>7.1892539572428582E-2</v>
      </c>
      <c r="D1261" s="2">
        <v>161.21212121212099</v>
      </c>
      <c r="E1261" s="2">
        <v>986</v>
      </c>
      <c r="F1261" s="301">
        <v>5.8721934369602762E-2</v>
      </c>
      <c r="G1261" s="14">
        <v>153.939393939393</v>
      </c>
      <c r="H1261" s="2">
        <v>1578</v>
      </c>
      <c r="I1261" s="301">
        <v>8.9669280600068194E-2</v>
      </c>
      <c r="J1261" s="14">
        <v>218.18181818181819</v>
      </c>
      <c r="K1261" s="301">
        <v>0.38421052631578945</v>
      </c>
      <c r="L1261" s="2">
        <v>3458</v>
      </c>
      <c r="M1261" s="301">
        <v>8.2159234004134093E-2</v>
      </c>
      <c r="N1261" s="2">
        <v>228.48484848484799</v>
      </c>
      <c r="O1261" s="2">
        <v>3280</v>
      </c>
      <c r="P1261" s="301">
        <v>7.5998053708380642E-2</v>
      </c>
      <c r="Q1261" s="14">
        <v>207.87878787878699</v>
      </c>
      <c r="R1261" s="2">
        <v>4773</v>
      </c>
      <c r="S1261" s="301">
        <v>0.10730906720025181</v>
      </c>
      <c r="T1261" s="14">
        <v>353.33333333333337</v>
      </c>
      <c r="U1261" s="301">
        <v>0.38027761711972236</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2006</v>
      </c>
      <c r="B1262" s="2">
        <v>935</v>
      </c>
      <c r="C1262" s="301">
        <v>5.8964495175632216E-2</v>
      </c>
      <c r="D1262" s="2">
        <v>115.757575757575</v>
      </c>
      <c r="E1262" s="2">
        <v>1306</v>
      </c>
      <c r="F1262" s="301">
        <v>7.777976296825681E-2</v>
      </c>
      <c r="G1262" s="14">
        <v>148.48484848484799</v>
      </c>
      <c r="H1262" s="2">
        <v>2247</v>
      </c>
      <c r="I1262" s="301">
        <v>0.12768496420047731</v>
      </c>
      <c r="J1262" s="14">
        <v>206.06060606060606</v>
      </c>
      <c r="K1262" s="301">
        <v>1.4032085561497327</v>
      </c>
      <c r="L1262" s="2">
        <v>4320</v>
      </c>
      <c r="M1262" s="301">
        <v>0.10263964456271235</v>
      </c>
      <c r="N1262" s="2">
        <v>278.78787878787801</v>
      </c>
      <c r="O1262" s="2">
        <v>4186</v>
      </c>
      <c r="P1262" s="301">
        <v>9.6990199031488214E-2</v>
      </c>
      <c r="Q1262" s="14">
        <v>238.78787878787799</v>
      </c>
      <c r="R1262" s="2">
        <v>6414</v>
      </c>
      <c r="S1262" s="301">
        <v>0.1442028822590436</v>
      </c>
      <c r="T1262" s="14">
        <v>310.30303030303031</v>
      </c>
      <c r="U1262" s="301">
        <v>0.48472222222222222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2007</v>
      </c>
      <c r="B1263" s="2">
        <v>412</v>
      </c>
      <c r="C1263" s="301">
        <v>2.5982216056000505E-2</v>
      </c>
      <c r="D1263" s="2">
        <v>67.878787878787804</v>
      </c>
      <c r="E1263" s="2">
        <v>355</v>
      </c>
      <c r="F1263" s="301">
        <v>2.1142278601631828E-2</v>
      </c>
      <c r="G1263" s="14">
        <v>74.545454545454504</v>
      </c>
      <c r="H1263" s="2">
        <v>805</v>
      </c>
      <c r="I1263" s="301">
        <v>4.5743834526650755E-2</v>
      </c>
      <c r="J1263" s="14">
        <v>132.72727272727275</v>
      </c>
      <c r="K1263" s="301">
        <v>0.95388349514563109</v>
      </c>
      <c r="L1263" s="2">
        <v>2125</v>
      </c>
      <c r="M1263" s="301">
        <v>5.048825108698235E-2</v>
      </c>
      <c r="N1263" s="2">
        <v>193.333333333333</v>
      </c>
      <c r="O1263" s="2">
        <v>2038</v>
      </c>
      <c r="P1263" s="301">
        <v>4.722074190782919E-2</v>
      </c>
      <c r="Q1263" s="14">
        <v>197.575757575757</v>
      </c>
      <c r="R1263" s="2">
        <v>3834</v>
      </c>
      <c r="S1263" s="301">
        <v>8.6197981069718294E-2</v>
      </c>
      <c r="T1263" s="14">
        <v>271.5151515151515</v>
      </c>
      <c r="U1263" s="301">
        <v>0.80423529411764705</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1591</v>
      </c>
      <c r="B1264" s="2">
        <v>7776</v>
      </c>
      <c r="C1264" s="301">
        <v>0.49038279624140757</v>
      </c>
      <c r="D1264" s="2">
        <v>295.15151515151501</v>
      </c>
      <c r="E1264" s="2">
        <v>8775</v>
      </c>
      <c r="F1264" s="301">
        <v>0.52260139360371627</v>
      </c>
      <c r="G1264" s="14">
        <v>323.030303030303</v>
      </c>
      <c r="H1264" s="2">
        <v>8689</v>
      </c>
      <c r="I1264" s="301">
        <v>0.49374928969201043</v>
      </c>
      <c r="J1264" s="14">
        <v>351.51515151515156</v>
      </c>
      <c r="K1264" s="301">
        <v>0.11741255144032922</v>
      </c>
      <c r="L1264" s="2">
        <v>15554</v>
      </c>
      <c r="M1264" s="301">
        <v>0.36955023877972865</v>
      </c>
      <c r="N1264" s="2">
        <v>477.575757575757</v>
      </c>
      <c r="O1264" s="2">
        <v>16884</v>
      </c>
      <c r="P1264" s="301">
        <v>0.3912046154915545</v>
      </c>
      <c r="Q1264" s="14">
        <v>432.12121212121201</v>
      </c>
      <c r="R1264" s="2">
        <v>15209</v>
      </c>
      <c r="S1264" s="301">
        <v>0.34193664425908854</v>
      </c>
      <c r="T1264" s="14">
        <v>513.93939393939399</v>
      </c>
      <c r="U1264" s="301">
        <v>-2.218078950752218E-2</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2001</v>
      </c>
      <c r="B1265" s="2">
        <v>259</v>
      </c>
      <c r="C1265" s="301">
        <v>1.6333480481806141E-2</v>
      </c>
      <c r="D1265" s="2">
        <v>80.606060606060595</v>
      </c>
      <c r="E1265" s="2">
        <v>723</v>
      </c>
      <c r="F1265" s="301">
        <v>4.3058781490083971E-2</v>
      </c>
      <c r="G1265" s="14">
        <v>166.06060606060601</v>
      </c>
      <c r="H1265" s="2">
        <v>551</v>
      </c>
      <c r="I1265" s="301">
        <v>3.1310376179111261E-2</v>
      </c>
      <c r="J1265" s="14">
        <v>169.69696969696972</v>
      </c>
      <c r="K1265" s="301">
        <v>1.1274131274131274</v>
      </c>
      <c r="L1265" s="2">
        <v>673</v>
      </c>
      <c r="M1265" s="301">
        <v>1.5989926108959586E-2</v>
      </c>
      <c r="N1265" s="2">
        <v>118.181818181818</v>
      </c>
      <c r="O1265" s="2">
        <v>1160</v>
      </c>
      <c r="P1265" s="301">
        <v>2.6877360457841934E-2</v>
      </c>
      <c r="Q1265" s="14">
        <v>187.272727272727</v>
      </c>
      <c r="R1265" s="2">
        <v>787</v>
      </c>
      <c r="S1265" s="301">
        <v>1.7693743114728298E-2</v>
      </c>
      <c r="T1265" s="14">
        <v>195.75757575757578</v>
      </c>
      <c r="U1265" s="301">
        <v>0.16939078751857356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2002</v>
      </c>
      <c r="B1266" s="2">
        <v>513</v>
      </c>
      <c r="C1266" s="301">
        <v>3.2351642807592861E-2</v>
      </c>
      <c r="D1266" s="2">
        <v>110.90909090909</v>
      </c>
      <c r="E1266" s="2">
        <v>504</v>
      </c>
      <c r="F1266" s="301">
        <v>3.0016080042880113E-2</v>
      </c>
      <c r="G1266" s="14">
        <v>83.030303030303003</v>
      </c>
      <c r="H1266" s="2">
        <v>291</v>
      </c>
      <c r="I1266" s="301">
        <v>1.6535969996590523E-2</v>
      </c>
      <c r="J1266" s="14">
        <v>72.121212121212125</v>
      </c>
      <c r="K1266" s="301">
        <v>-0.43274853801169588</v>
      </c>
      <c r="L1266" s="2">
        <v>754</v>
      </c>
      <c r="M1266" s="301">
        <v>1.7914419444510443E-2</v>
      </c>
      <c r="N1266" s="2">
        <v>127.87878787878699</v>
      </c>
      <c r="O1266" s="2">
        <v>1093</v>
      </c>
      <c r="P1266" s="301">
        <v>2.5324961190018303E-2</v>
      </c>
      <c r="Q1266" s="14">
        <v>184.84848484848399</v>
      </c>
      <c r="R1266" s="2">
        <v>434</v>
      </c>
      <c r="S1266" s="301">
        <v>9.7574136109175123E-3</v>
      </c>
      <c r="T1266" s="14">
        <v>98.787878787878796</v>
      </c>
      <c r="U1266" s="301">
        <v>-0.4244031830238727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1865</v>
      </c>
      <c r="B1267" s="2">
        <v>867</v>
      </c>
      <c r="C1267" s="301">
        <v>5.4676168253768052E-2</v>
      </c>
      <c r="D1267" s="2">
        <v>115.757575757575</v>
      </c>
      <c r="E1267" s="2">
        <v>792</v>
      </c>
      <c r="F1267" s="301">
        <v>4.7168125781668749E-2</v>
      </c>
      <c r="G1267" s="14">
        <v>108.484848484848</v>
      </c>
      <c r="H1267" s="2">
        <v>801</v>
      </c>
      <c r="I1267" s="301">
        <v>4.5516535969996594E-2</v>
      </c>
      <c r="J1267" s="14">
        <v>152.72727272727275</v>
      </c>
      <c r="K1267" s="301">
        <v>-7.6124567474048443E-2</v>
      </c>
      <c r="L1267" s="2">
        <v>1707</v>
      </c>
      <c r="M1267" s="301">
        <v>4.0556915108460642E-2</v>
      </c>
      <c r="N1267" s="2">
        <v>164.84848484848399</v>
      </c>
      <c r="O1267" s="2">
        <v>1426</v>
      </c>
      <c r="P1267" s="301">
        <v>3.3040617252484999E-2</v>
      </c>
      <c r="Q1267" s="14">
        <v>134.54545454545399</v>
      </c>
      <c r="R1267" s="2">
        <v>1193</v>
      </c>
      <c r="S1267" s="301">
        <v>2.6821646170102745E-2</v>
      </c>
      <c r="T1267" s="14">
        <v>191.51515151515153</v>
      </c>
      <c r="U1267" s="301">
        <v>-0.30111306385471587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1866</v>
      </c>
      <c r="B1268" s="2">
        <v>811</v>
      </c>
      <c r="C1268" s="301">
        <v>5.1144604906350505E-2</v>
      </c>
      <c r="D1268" s="2">
        <v>126.666666666666</v>
      </c>
      <c r="E1268" s="2">
        <v>721</v>
      </c>
      <c r="F1268" s="301">
        <v>4.2939670061342389E-2</v>
      </c>
      <c r="G1268" s="14">
        <v>123.636363636363</v>
      </c>
      <c r="H1268" s="2">
        <v>634</v>
      </c>
      <c r="I1268" s="301">
        <v>3.6026821229685188E-2</v>
      </c>
      <c r="J1268" s="14">
        <v>120.60606060606061</v>
      </c>
      <c r="K1268" s="301">
        <v>-0.21824907521578299</v>
      </c>
      <c r="L1268" s="2">
        <v>1382</v>
      </c>
      <c r="M1268" s="301">
        <v>3.2835182589275105E-2</v>
      </c>
      <c r="N1268" s="2">
        <v>154.54545454545399</v>
      </c>
      <c r="O1268" s="2">
        <v>1410</v>
      </c>
      <c r="P1268" s="301">
        <v>3.2669895039273388E-2</v>
      </c>
      <c r="Q1268" s="14">
        <v>186.666666666666</v>
      </c>
      <c r="R1268" s="2">
        <v>1130</v>
      </c>
      <c r="S1268" s="301">
        <v>2.5405247420130849E-2</v>
      </c>
      <c r="T1268" s="14">
        <v>154.54545454545456</v>
      </c>
      <c r="U1268" s="301">
        <v>-0.18234442836468887</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1867</v>
      </c>
      <c r="B1269" s="2">
        <v>830</v>
      </c>
      <c r="C1269" s="301">
        <v>5.2342813899224315E-2</v>
      </c>
      <c r="D1269" s="2">
        <v>119.39393939393899</v>
      </c>
      <c r="E1269" s="2">
        <v>975</v>
      </c>
      <c r="F1269" s="301">
        <v>5.8066821511524029E-2</v>
      </c>
      <c r="G1269" s="14">
        <v>164.24242424242399</v>
      </c>
      <c r="H1269" s="2">
        <v>456</v>
      </c>
      <c r="I1269" s="301">
        <v>2.5912035458574838E-2</v>
      </c>
      <c r="J1269" s="14">
        <v>122.42424242424244</v>
      </c>
      <c r="K1269" s="301">
        <v>-0.45060240963855419</v>
      </c>
      <c r="L1269" s="2">
        <v>1606</v>
      </c>
      <c r="M1269" s="301">
        <v>3.8157238233267603E-2</v>
      </c>
      <c r="N1269" s="2">
        <v>184.24242424242399</v>
      </c>
      <c r="O1269" s="2">
        <v>1803</v>
      </c>
      <c r="P1269" s="301">
        <v>4.1775759401283627E-2</v>
      </c>
      <c r="Q1269" s="14">
        <v>224.24242424242399</v>
      </c>
      <c r="R1269" s="2">
        <v>787</v>
      </c>
      <c r="S1269" s="301">
        <v>1.7693743114728298E-2</v>
      </c>
      <c r="T1269" s="14">
        <v>152.12121212121212</v>
      </c>
      <c r="U1269" s="301">
        <v>-0.50996264009962644</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2003</v>
      </c>
      <c r="B1270" s="2">
        <v>1337</v>
      </c>
      <c r="C1270" s="301">
        <v>8.4316074919593864E-2</v>
      </c>
      <c r="D1270" s="2">
        <v>149.09090909090901</v>
      </c>
      <c r="E1270" s="2">
        <v>1321</v>
      </c>
      <c r="F1270" s="301">
        <v>7.8673098683818707E-2</v>
      </c>
      <c r="G1270" s="14">
        <v>159.39393939393901</v>
      </c>
      <c r="H1270" s="2">
        <v>1431</v>
      </c>
      <c r="I1270" s="301">
        <v>8.1316058643027614E-2</v>
      </c>
      <c r="J1270" s="14">
        <v>233.93939393939397</v>
      </c>
      <c r="K1270" s="301">
        <v>7.0306656694091252E-2</v>
      </c>
      <c r="L1270" s="2">
        <v>2714</v>
      </c>
      <c r="M1270" s="301">
        <v>6.4482406329444741E-2</v>
      </c>
      <c r="N1270" s="2">
        <v>205.45454545454501</v>
      </c>
      <c r="O1270" s="2">
        <v>2595</v>
      </c>
      <c r="P1270" s="301">
        <v>6.0126508955258465E-2</v>
      </c>
      <c r="Q1270" s="14">
        <v>210.90909090909</v>
      </c>
      <c r="R1270" s="2">
        <v>2134</v>
      </c>
      <c r="S1270" s="301">
        <v>4.7977697340317906E-2</v>
      </c>
      <c r="T1270" s="14">
        <v>250.30303030303031</v>
      </c>
      <c r="U1270" s="301">
        <v>-0.21370670596904937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2004</v>
      </c>
      <c r="B1271" s="2">
        <v>1217</v>
      </c>
      <c r="C1271" s="301">
        <v>7.6748439175127706E-2</v>
      </c>
      <c r="D1271" s="2">
        <v>160.60606060606</v>
      </c>
      <c r="E1271" s="2">
        <v>1746</v>
      </c>
      <c r="F1271" s="301">
        <v>0.10398427729140611</v>
      </c>
      <c r="G1271" s="14">
        <v>203.030303030303</v>
      </c>
      <c r="H1271" s="2">
        <v>2042</v>
      </c>
      <c r="I1271" s="301">
        <v>0.11603591317195136</v>
      </c>
      <c r="J1271" s="14">
        <v>318.78787878787881</v>
      </c>
      <c r="K1271" s="301">
        <v>0.67789646672144621</v>
      </c>
      <c r="L1271" s="2">
        <v>2622</v>
      </c>
      <c r="M1271" s="301">
        <v>6.2296562047090692E-2</v>
      </c>
      <c r="N1271" s="2">
        <v>252.12121212121201</v>
      </c>
      <c r="O1271" s="2">
        <v>2995</v>
      </c>
      <c r="P1271" s="301">
        <v>6.9394564285548785E-2</v>
      </c>
      <c r="Q1271" s="14">
        <v>253.93939393939399</v>
      </c>
      <c r="R1271" s="2">
        <v>3184</v>
      </c>
      <c r="S1271" s="301">
        <v>7.1584343173182852E-2</v>
      </c>
      <c r="T1271" s="14">
        <v>370.30303030303031</v>
      </c>
      <c r="U1271" s="301">
        <v>0.21434019832189169</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2005</v>
      </c>
      <c r="B1272" s="2">
        <v>1361</v>
      </c>
      <c r="C1272" s="301">
        <v>8.582960206848711E-2</v>
      </c>
      <c r="D1272" s="2">
        <v>152.72727272727201</v>
      </c>
      <c r="E1272" s="2">
        <v>1267</v>
      </c>
      <c r="F1272" s="301">
        <v>7.5457090107795846E-2</v>
      </c>
      <c r="G1272" s="14">
        <v>174.54545454545399</v>
      </c>
      <c r="H1272" s="2">
        <v>1218</v>
      </c>
      <c r="I1272" s="301">
        <v>6.9212410501193311E-2</v>
      </c>
      <c r="J1272" s="14">
        <v>155.15151515151516</v>
      </c>
      <c r="K1272" s="301">
        <v>-0.10506980161645849</v>
      </c>
      <c r="L1272" s="2">
        <v>2399</v>
      </c>
      <c r="M1272" s="301">
        <v>5.6998265580080303E-2</v>
      </c>
      <c r="N1272" s="2">
        <v>195.75757575757501</v>
      </c>
      <c r="O1272" s="2">
        <v>2661</v>
      </c>
      <c r="P1272" s="301">
        <v>6.1655738084756363E-2</v>
      </c>
      <c r="Q1272" s="14">
        <v>260</v>
      </c>
      <c r="R1272" s="2">
        <v>2599</v>
      </c>
      <c r="S1272" s="301">
        <v>5.8432069066300954E-2</v>
      </c>
      <c r="T1272" s="14">
        <v>250.90909090909093</v>
      </c>
      <c r="U1272" s="301">
        <v>8.3368070029178828E-2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1875</v>
      </c>
      <c r="B1273" s="2">
        <v>304</v>
      </c>
      <c r="C1273" s="301">
        <v>1.9171343885980956E-2</v>
      </c>
      <c r="D1273" s="2">
        <v>61.212121212121197</v>
      </c>
      <c r="E1273" s="2">
        <v>407</v>
      </c>
      <c r="F1273" s="301">
        <v>2.4239175748913107E-2</v>
      </c>
      <c r="G1273" s="14">
        <v>98.787878787878796</v>
      </c>
      <c r="H1273" s="2">
        <v>783</v>
      </c>
      <c r="I1273" s="301">
        <v>4.4493692465052845E-2</v>
      </c>
      <c r="J1273" s="14">
        <v>200.60606060606062</v>
      </c>
      <c r="K1273" s="301">
        <v>1.575657894736842</v>
      </c>
      <c r="L1273" s="2">
        <v>794</v>
      </c>
      <c r="M1273" s="301">
        <v>1.8864786523794815E-2</v>
      </c>
      <c r="N1273" s="2">
        <v>122.424242424242</v>
      </c>
      <c r="O1273" s="2">
        <v>848</v>
      </c>
      <c r="P1273" s="301">
        <v>1.9648277300215483E-2</v>
      </c>
      <c r="Q1273" s="14">
        <v>134.54545454545399</v>
      </c>
      <c r="R1273" s="2">
        <v>1592</v>
      </c>
      <c r="S1273" s="301">
        <v>3.5792171586591426E-2</v>
      </c>
      <c r="T1273" s="14">
        <v>239.39393939393941</v>
      </c>
      <c r="U1273" s="301">
        <v>1.0050377833753148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2006</v>
      </c>
      <c r="B1274" s="2">
        <v>231</v>
      </c>
      <c r="C1274" s="301">
        <v>1.4567698808097371E-2</v>
      </c>
      <c r="D1274" s="2">
        <v>73.3333333333333</v>
      </c>
      <c r="E1274" s="2">
        <v>292</v>
      </c>
      <c r="F1274" s="301">
        <v>1.7390268596271814E-2</v>
      </c>
      <c r="G1274" s="14">
        <v>79.393939393939405</v>
      </c>
      <c r="H1274" s="2">
        <v>375</v>
      </c>
      <c r="I1274" s="301">
        <v>2.1309239686327992E-2</v>
      </c>
      <c r="J1274" s="14">
        <v>99.393939393939405</v>
      </c>
      <c r="K1274" s="301">
        <v>0.62337662337662336</v>
      </c>
      <c r="L1274" s="2">
        <v>717</v>
      </c>
      <c r="M1274" s="301">
        <v>1.7035329896172395E-2</v>
      </c>
      <c r="N1274" s="2">
        <v>117.575757575757</v>
      </c>
      <c r="O1274" s="2">
        <v>656</v>
      </c>
      <c r="P1274" s="301">
        <v>1.5199610741676127E-2</v>
      </c>
      <c r="Q1274" s="14">
        <v>123.636363636363</v>
      </c>
      <c r="R1274" s="2">
        <v>979</v>
      </c>
      <c r="S1274" s="301">
        <v>2.2010386924166462E-2</v>
      </c>
      <c r="T1274" s="14">
        <v>180</v>
      </c>
      <c r="U1274" s="301">
        <v>0.36541143654114366</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2007</v>
      </c>
      <c r="B1275" s="2">
        <v>46</v>
      </c>
      <c r="C1275" s="301">
        <v>2.9009270353786971E-3</v>
      </c>
      <c r="D1275" s="2">
        <v>35.151515151515099</v>
      </c>
      <c r="E1275" s="2">
        <v>27</v>
      </c>
      <c r="F1275" s="301">
        <v>1.6080042880114347E-3</v>
      </c>
      <c r="G1275" s="14">
        <v>14.545454545454501</v>
      </c>
      <c r="H1275" s="2">
        <v>107</v>
      </c>
      <c r="I1275" s="301">
        <v>6.0802363904989207E-3</v>
      </c>
      <c r="J1275" s="14">
        <v>46.666666666666671</v>
      </c>
      <c r="K1275" s="301">
        <v>1.326086956521739</v>
      </c>
      <c r="L1275" s="2">
        <v>186</v>
      </c>
      <c r="M1275" s="301">
        <v>4.4192069186723372E-3</v>
      </c>
      <c r="N1275" s="2">
        <v>55.151515151515099</v>
      </c>
      <c r="O1275" s="2">
        <v>237</v>
      </c>
      <c r="P1275" s="301">
        <v>5.4913227831970158E-3</v>
      </c>
      <c r="Q1275" s="14">
        <v>59.393939393939398</v>
      </c>
      <c r="R1275" s="2">
        <v>390</v>
      </c>
      <c r="S1275" s="301">
        <v>8.7681827379212669E-3</v>
      </c>
      <c r="T1275" s="14">
        <v>78.181818181818187</v>
      </c>
      <c r="U1275" s="301">
        <v>1.096774193548387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2008</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1706</v>
      </c>
      <c r="C1278" s="304"/>
      <c r="D1278" s="304" t="s">
        <v>1707</v>
      </c>
      <c r="E1278" s="304" t="s">
        <v>1706</v>
      </c>
      <c r="F1278" s="304"/>
      <c r="G1278" s="304" t="s">
        <v>1707</v>
      </c>
      <c r="H1278" s="304" t="s">
        <v>1706</v>
      </c>
      <c r="I1278" s="304"/>
      <c r="J1278" s="304" t="s">
        <v>1707</v>
      </c>
      <c r="K1278" t="s">
        <v>172</v>
      </c>
      <c r="L1278" s="304" t="s">
        <v>1706</v>
      </c>
      <c r="M1278" s="304"/>
      <c r="N1278" s="304" t="s">
        <v>1707</v>
      </c>
      <c r="O1278" s="304" t="s">
        <v>1706</v>
      </c>
      <c r="P1278" s="304"/>
      <c r="Q1278" s="304" t="s">
        <v>1707</v>
      </c>
      <c r="R1278" s="304" t="s">
        <v>1706</v>
      </c>
      <c r="S1278" s="304"/>
      <c r="T1278" s="304" t="s">
        <v>1707</v>
      </c>
      <c r="U1278" t="s">
        <v>172</v>
      </c>
      <c r="V1278" s="207" t="s">
        <v>1706</v>
      </c>
      <c r="W1278" s="207"/>
      <c r="X1278" s="207" t="s">
        <v>1707</v>
      </c>
      <c r="Y1278" s="207" t="s">
        <v>1706</v>
      </c>
      <c r="Z1278" s="207"/>
      <c r="AA1278" s="207" t="s">
        <v>1707</v>
      </c>
      <c r="AB1278" s="207" t="s">
        <v>1706</v>
      </c>
      <c r="AC1278" s="207"/>
      <c r="AD1278" s="207" t="s">
        <v>1707</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v>
      </c>
      <c r="M1279" t="s">
        <v>172</v>
      </c>
      <c r="N1279" s="14">
        <v>-0.60606060606059997</v>
      </c>
      <c r="O1279" s="14">
        <v>6.7</v>
      </c>
      <c r="P1279" t="s">
        <v>172</v>
      </c>
      <c r="Q1279" s="14">
        <v>-0.60606060606059997</v>
      </c>
      <c r="R1279" s="14">
        <v>10.7</v>
      </c>
      <c r="S1279" t="s">
        <v>172</v>
      </c>
      <c r="T1279" t="s">
        <v>172</v>
      </c>
      <c r="U1279" s="301">
        <v>1.1399999999999999</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2009</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1706</v>
      </c>
      <c r="C1282" s="304"/>
      <c r="D1282" s="304" t="s">
        <v>1707</v>
      </c>
      <c r="E1282" s="304" t="s">
        <v>1706</v>
      </c>
      <c r="F1282" s="304"/>
      <c r="G1282" s="304" t="s">
        <v>1707</v>
      </c>
      <c r="H1282" s="304" t="s">
        <v>1706</v>
      </c>
      <c r="I1282" s="304"/>
      <c r="J1282" s="304" t="s">
        <v>1707</v>
      </c>
      <c r="K1282" t="s">
        <v>172</v>
      </c>
      <c r="L1282" s="304" t="s">
        <v>1706</v>
      </c>
      <c r="M1282" s="304"/>
      <c r="N1282" s="304" t="s">
        <v>1707</v>
      </c>
      <c r="O1282" s="304" t="s">
        <v>1706</v>
      </c>
      <c r="P1282" s="304"/>
      <c r="Q1282" s="304" t="s">
        <v>1707</v>
      </c>
      <c r="R1282" s="304" t="s">
        <v>1706</v>
      </c>
      <c r="S1282" s="304"/>
      <c r="T1282" s="304" t="s">
        <v>1707</v>
      </c>
      <c r="U1282" t="s">
        <v>172</v>
      </c>
      <c r="V1282" s="207" t="s">
        <v>1706</v>
      </c>
      <c r="W1282" s="207"/>
      <c r="X1282" s="207" t="s">
        <v>1707</v>
      </c>
      <c r="Y1282" s="207" t="s">
        <v>1706</v>
      </c>
      <c r="Z1282" s="207"/>
      <c r="AA1282" s="207" t="s">
        <v>1707</v>
      </c>
      <c r="AB1282" s="207" t="s">
        <v>1706</v>
      </c>
      <c r="AC1282" s="207"/>
      <c r="AD1282" s="207" t="s">
        <v>1707</v>
      </c>
      <c r="AE1282" t="s">
        <v>172</v>
      </c>
    </row>
    <row r="1283" spans="1:31" x14ac:dyDescent="0.3">
      <c r="A1283" t="s">
        <v>174</v>
      </c>
      <c r="B1283" s="2">
        <v>1741</v>
      </c>
      <c r="C1283" t="s">
        <v>172</v>
      </c>
      <c r="D1283" s="2">
        <v>-0.60606060606059997</v>
      </c>
      <c r="E1283" s="2">
        <v>1103</v>
      </c>
      <c r="F1283" t="s">
        <v>172</v>
      </c>
      <c r="G1283" s="2">
        <v>-1</v>
      </c>
      <c r="H1283" s="2">
        <v>1115</v>
      </c>
      <c r="I1283" t="s">
        <v>172</v>
      </c>
      <c r="J1283" t="s">
        <v>172</v>
      </c>
      <c r="K1283" s="301">
        <v>-0.35956346927053418</v>
      </c>
      <c r="L1283" s="2">
        <v>6597</v>
      </c>
      <c r="M1283" t="s">
        <v>172</v>
      </c>
      <c r="N1283" s="2">
        <v>-0.60606060606059997</v>
      </c>
      <c r="O1283" s="2">
        <v>6545</v>
      </c>
      <c r="P1283" t="s">
        <v>172</v>
      </c>
      <c r="Q1283" s="2">
        <v>-1</v>
      </c>
      <c r="R1283" s="2">
        <v>6001</v>
      </c>
      <c r="S1283" t="s">
        <v>172</v>
      </c>
      <c r="T1283" t="s">
        <v>172</v>
      </c>
      <c r="U1283" s="301">
        <v>-9.0344095801121724E-2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2010</v>
      </c>
      <c r="B1284" s="2">
        <v>0</v>
      </c>
      <c r="C1284" s="301">
        <v>0</v>
      </c>
      <c r="D1284" s="2">
        <v>-0.60606060606059997</v>
      </c>
      <c r="E1284" s="2">
        <v>0</v>
      </c>
      <c r="F1284" s="301">
        <v>0</v>
      </c>
      <c r="G1284" s="2">
        <v>-1</v>
      </c>
      <c r="H1284" s="2">
        <v>72</v>
      </c>
      <c r="I1284" s="301">
        <v>6.4573991031390138E-2</v>
      </c>
      <c r="J1284" t="s">
        <v>172</v>
      </c>
      <c r="L1284" s="2">
        <v>17</v>
      </c>
      <c r="M1284" s="301">
        <v>2.5769289070789753E-3</v>
      </c>
      <c r="N1284" s="2">
        <v>-0.60606060606059997</v>
      </c>
      <c r="O1284" s="2">
        <v>101</v>
      </c>
      <c r="P1284" s="301">
        <v>1.5431627196333078E-2</v>
      </c>
      <c r="Q1284" s="2">
        <v>-1</v>
      </c>
      <c r="R1284" s="2">
        <v>450</v>
      </c>
      <c r="S1284" s="301">
        <v>7.4987502082986171E-2</v>
      </c>
      <c r="T1284" t="s">
        <v>172</v>
      </c>
      <c r="U1284" s="301">
        <v>25.470588235294116</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2011</v>
      </c>
      <c r="B1285" s="2">
        <v>1741</v>
      </c>
      <c r="C1285" s="301">
        <v>1</v>
      </c>
      <c r="D1285" s="2">
        <v>-0.60606060606059997</v>
      </c>
      <c r="E1285" s="2">
        <v>1103</v>
      </c>
      <c r="F1285" s="301">
        <v>1</v>
      </c>
      <c r="G1285" s="2">
        <v>-1</v>
      </c>
      <c r="H1285" s="2">
        <v>1043</v>
      </c>
      <c r="I1285" s="301">
        <v>0.93542600896860983</v>
      </c>
      <c r="J1285" t="s">
        <v>172</v>
      </c>
      <c r="K1285" s="301">
        <v>-0.40091901206203329</v>
      </c>
      <c r="L1285" s="2">
        <v>6580</v>
      </c>
      <c r="M1285" s="301">
        <v>0.99742307109292105</v>
      </c>
      <c r="N1285" s="2">
        <v>-0.60606060606059997</v>
      </c>
      <c r="O1285" s="2">
        <v>6444</v>
      </c>
      <c r="P1285" s="301">
        <v>0.98456837280366694</v>
      </c>
      <c r="Q1285" s="2">
        <v>-1</v>
      </c>
      <c r="R1285" s="2">
        <v>5551</v>
      </c>
      <c r="S1285" s="301">
        <v>0.92501249791701379</v>
      </c>
      <c r="T1285" t="s">
        <v>172</v>
      </c>
      <c r="U1285" s="301">
        <v>-0.15638297872340426</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2012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172</v>
      </c>
      <c r="C1288" t="s">
        <v>172</v>
      </c>
      <c r="D1288" t="s">
        <v>172</v>
      </c>
      <c r="E1288" s="304" t="s">
        <v>1706</v>
      </c>
      <c r="F1288" s="304"/>
      <c r="G1288" s="304" t="s">
        <v>1707</v>
      </c>
      <c r="H1288" s="304" t="s">
        <v>1706</v>
      </c>
      <c r="I1288" s="304"/>
      <c r="J1288" s="304" t="s">
        <v>1707</v>
      </c>
      <c r="K1288" t="s">
        <v>172</v>
      </c>
      <c r="L1288" t="s">
        <v>172</v>
      </c>
      <c r="M1288" t="s">
        <v>172</v>
      </c>
      <c r="N1288" t="s">
        <v>172</v>
      </c>
      <c r="O1288" s="304" t="s">
        <v>1706</v>
      </c>
      <c r="P1288" s="304"/>
      <c r="Q1288" s="304" t="s">
        <v>1707</v>
      </c>
      <c r="R1288" s="304" t="s">
        <v>1706</v>
      </c>
      <c r="S1288" s="304"/>
      <c r="T1288" s="304" t="s">
        <v>1707</v>
      </c>
      <c r="U1288" t="s">
        <v>172</v>
      </c>
      <c r="V1288" t="s">
        <v>172</v>
      </c>
      <c r="W1288" t="s">
        <v>172</v>
      </c>
      <c r="X1288" t="s">
        <v>172</v>
      </c>
      <c r="Y1288" s="207" t="s">
        <v>1706</v>
      </c>
      <c r="Z1288" s="207"/>
      <c r="AA1288" s="207" t="s">
        <v>1707</v>
      </c>
      <c r="AB1288" s="207" t="s">
        <v>1706</v>
      </c>
      <c r="AC1288" s="207"/>
      <c r="AD1288" s="207" t="s">
        <v>1707</v>
      </c>
      <c r="AE1288" t="s">
        <v>172</v>
      </c>
    </row>
    <row r="1289" spans="1:31" x14ac:dyDescent="0.3">
      <c r="A1289" t="s">
        <v>174</v>
      </c>
      <c r="B1289" t="s">
        <v>172</v>
      </c>
      <c r="C1289" t="s">
        <v>172</v>
      </c>
      <c r="D1289" t="s">
        <v>172</v>
      </c>
      <c r="E1289" s="2">
        <v>5186</v>
      </c>
      <c r="F1289" t="s">
        <v>172</v>
      </c>
      <c r="G1289" s="14">
        <v>251.51515151515099</v>
      </c>
      <c r="H1289" s="2">
        <v>5812</v>
      </c>
      <c r="I1289" t="s">
        <v>172</v>
      </c>
      <c r="J1289" s="14">
        <v>349.69695999999999</v>
      </c>
      <c r="L1289" t="s">
        <v>172</v>
      </c>
      <c r="M1289" t="s">
        <v>172</v>
      </c>
      <c r="N1289" t="s">
        <v>172</v>
      </c>
      <c r="O1289" s="2">
        <v>19105</v>
      </c>
      <c r="P1289" t="s">
        <v>172</v>
      </c>
      <c r="Q1289" s="14">
        <v>10.909090909090899</v>
      </c>
      <c r="R1289" s="2">
        <v>21858</v>
      </c>
      <c r="S1289" t="s">
        <v>172</v>
      </c>
      <c r="T1289" s="14">
        <v>61.212119999999999</v>
      </c>
      <c r="V1289" t="s">
        <v>172</v>
      </c>
      <c r="W1289" t="s">
        <v>172</v>
      </c>
      <c r="X1289" t="s">
        <v>172</v>
      </c>
      <c r="Y1289" s="2">
        <v>4797320</v>
      </c>
      <c r="Z1289" s="27" t="s">
        <v>172</v>
      </c>
      <c r="AA1289" s="14">
        <v>390.3</v>
      </c>
      <c r="AB1289" s="2">
        <v>5644497</v>
      </c>
      <c r="AC1289" s="27" t="s">
        <v>172</v>
      </c>
      <c r="AD1289" s="14">
        <v>503.64</v>
      </c>
    </row>
    <row r="1290" spans="1:31" x14ac:dyDescent="0.3">
      <c r="A1290" t="s">
        <v>2013</v>
      </c>
      <c r="B1290" t="s">
        <v>172</v>
      </c>
      <c r="C1290" t="s">
        <v>172</v>
      </c>
      <c r="D1290" t="s">
        <v>172</v>
      </c>
      <c r="E1290" s="2">
        <v>4998</v>
      </c>
      <c r="F1290" s="301">
        <v>0.96374855379868873</v>
      </c>
      <c r="G1290" s="14">
        <v>252.12121212121201</v>
      </c>
      <c r="H1290" s="2">
        <v>5659</v>
      </c>
      <c r="I1290" s="301">
        <v>0.97367515485203027</v>
      </c>
      <c r="J1290" s="14">
        <v>344.84848</v>
      </c>
      <c r="L1290" t="s">
        <v>172</v>
      </c>
      <c r="M1290" t="s">
        <v>172</v>
      </c>
      <c r="N1290" t="s">
        <v>172</v>
      </c>
      <c r="O1290" s="2">
        <v>18517</v>
      </c>
      <c r="P1290" s="301">
        <v>0.96922271656634384</v>
      </c>
      <c r="Q1290" s="14">
        <v>91.515151515151501</v>
      </c>
      <c r="R1290" s="2">
        <v>21240</v>
      </c>
      <c r="S1290" s="301">
        <v>0.97172659895690361</v>
      </c>
      <c r="T1290" s="14">
        <v>114.545456</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2014</v>
      </c>
      <c r="B1291" t="s">
        <v>172</v>
      </c>
      <c r="C1291" t="s">
        <v>172</v>
      </c>
      <c r="D1291" t="s">
        <v>172</v>
      </c>
      <c r="E1291" s="2">
        <v>3789</v>
      </c>
      <c r="F1291" s="301">
        <v>0.73062090242961819</v>
      </c>
      <c r="G1291" s="14">
        <v>240.60606060606</v>
      </c>
      <c r="H1291" s="2">
        <v>4233</v>
      </c>
      <c r="I1291" s="301">
        <v>0.72832071576049551</v>
      </c>
      <c r="J1291" s="14">
        <v>327.878784</v>
      </c>
      <c r="L1291" t="s">
        <v>172</v>
      </c>
      <c r="M1291" t="s">
        <v>172</v>
      </c>
      <c r="N1291" t="s">
        <v>172</v>
      </c>
      <c r="O1291" s="2">
        <v>14220</v>
      </c>
      <c r="P1291" s="301">
        <v>0.74430777283433658</v>
      </c>
      <c r="Q1291" s="14">
        <v>251.51515151515099</v>
      </c>
      <c r="R1291" s="2">
        <v>16462</v>
      </c>
      <c r="S1291" s="301">
        <v>0.75313386403147586</v>
      </c>
      <c r="T1291" s="14">
        <v>300.60604899999998</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2015</v>
      </c>
      <c r="B1292" t="s">
        <v>172</v>
      </c>
      <c r="C1292" t="s">
        <v>172</v>
      </c>
      <c r="D1292" t="s">
        <v>172</v>
      </c>
      <c r="E1292" s="2">
        <v>1581</v>
      </c>
      <c r="F1292" s="301">
        <v>0.30485923640570767</v>
      </c>
      <c r="G1292" s="14">
        <v>143.030303030303</v>
      </c>
      <c r="H1292" s="2">
        <v>1628</v>
      </c>
      <c r="I1292" s="301">
        <v>0.28011011699931176</v>
      </c>
      <c r="J1292" s="14">
        <v>167.878784</v>
      </c>
      <c r="L1292" t="s">
        <v>172</v>
      </c>
      <c r="M1292" t="s">
        <v>172</v>
      </c>
      <c r="N1292" t="s">
        <v>172</v>
      </c>
      <c r="O1292" s="2">
        <v>6657</v>
      </c>
      <c r="P1292" s="301">
        <v>0.34844281601674953</v>
      </c>
      <c r="Q1292" s="14">
        <v>193.939393939393</v>
      </c>
      <c r="R1292" s="2">
        <v>7779</v>
      </c>
      <c r="S1292" s="301">
        <v>0.35588800439198465</v>
      </c>
      <c r="T1292" s="14">
        <v>258.78787199999999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2016</v>
      </c>
      <c r="B1293" t="s">
        <v>172</v>
      </c>
      <c r="C1293" t="s">
        <v>172</v>
      </c>
      <c r="D1293" t="s">
        <v>172</v>
      </c>
      <c r="E1293" s="2">
        <v>925</v>
      </c>
      <c r="F1293" s="301">
        <v>0.17836482838411108</v>
      </c>
      <c r="G1293" s="14">
        <v>110.30303030303</v>
      </c>
      <c r="H1293" s="2">
        <v>796</v>
      </c>
      <c r="I1293" s="301">
        <v>0.13695801789401238</v>
      </c>
      <c r="J1293" s="14">
        <v>116.36364</v>
      </c>
      <c r="L1293" t="s">
        <v>172</v>
      </c>
      <c r="M1293" t="s">
        <v>172</v>
      </c>
      <c r="N1293" t="s">
        <v>172</v>
      </c>
      <c r="O1293" s="2">
        <v>4452</v>
      </c>
      <c r="P1293" s="301">
        <v>0.23302800314053912</v>
      </c>
      <c r="Q1293" s="14">
        <v>176.969696969696</v>
      </c>
      <c r="R1293" s="2">
        <v>4570</v>
      </c>
      <c r="S1293" s="301">
        <v>0.20907676823131119</v>
      </c>
      <c r="T1293" s="14">
        <v>238.78787199999999</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2017</v>
      </c>
      <c r="B1294" t="s">
        <v>172</v>
      </c>
      <c r="C1294" t="s">
        <v>172</v>
      </c>
      <c r="D1294" t="s">
        <v>172</v>
      </c>
      <c r="E1294" s="2">
        <v>656</v>
      </c>
      <c r="F1294" s="301">
        <v>0.12649440802159662</v>
      </c>
      <c r="G1294" s="14">
        <v>99.393939393939405</v>
      </c>
      <c r="H1294" s="2">
        <v>832</v>
      </c>
      <c r="I1294" s="301">
        <v>0.14315209910529939</v>
      </c>
      <c r="J1294" s="14">
        <v>136.96969999999999</v>
      </c>
      <c r="L1294" t="s">
        <v>172</v>
      </c>
      <c r="M1294" t="s">
        <v>172</v>
      </c>
      <c r="N1294" t="s">
        <v>172</v>
      </c>
      <c r="O1294" s="2">
        <v>2205</v>
      </c>
      <c r="P1294" s="301">
        <v>0.11541481287621042</v>
      </c>
      <c r="Q1294" s="14">
        <v>146.666666666666</v>
      </c>
      <c r="R1294" s="2">
        <v>3209</v>
      </c>
      <c r="S1294" s="301">
        <v>0.14681123616067343</v>
      </c>
      <c r="T1294" s="14">
        <v>226.66667200000001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2018</v>
      </c>
      <c r="B1295" t="s">
        <v>172</v>
      </c>
      <c r="C1295" t="s">
        <v>172</v>
      </c>
      <c r="D1295" t="s">
        <v>172</v>
      </c>
      <c r="E1295" s="2">
        <v>1033</v>
      </c>
      <c r="F1295" s="301">
        <v>0.19919012726571539</v>
      </c>
      <c r="G1295" s="14">
        <v>128.48484848484799</v>
      </c>
      <c r="H1295" s="2">
        <v>1231</v>
      </c>
      <c r="I1295" s="301">
        <v>0.21180316586373021</v>
      </c>
      <c r="J1295" s="14">
        <v>155.15152</v>
      </c>
      <c r="L1295" t="s">
        <v>172</v>
      </c>
      <c r="M1295" t="s">
        <v>172</v>
      </c>
      <c r="N1295" t="s">
        <v>172</v>
      </c>
      <c r="O1295" s="2">
        <v>4923</v>
      </c>
      <c r="P1295" s="301">
        <v>0.25768123527872283</v>
      </c>
      <c r="Q1295" s="14">
        <v>188.48484848484799</v>
      </c>
      <c r="R1295" s="2">
        <v>5729</v>
      </c>
      <c r="S1295" s="301">
        <v>0.26210083264708572</v>
      </c>
      <c r="T1295" s="14">
        <v>235.75756799999999</v>
      </c>
      <c r="V1295" t="s">
        <v>172</v>
      </c>
      <c r="W1295" t="s">
        <v>172</v>
      </c>
      <c r="X1295" t="s">
        <v>172</v>
      </c>
      <c r="Y1295" s="2">
        <v>1045351</v>
      </c>
      <c r="Z1295" s="27">
        <v>0.218</v>
      </c>
      <c r="AA1295" s="14">
        <v>2800.61</v>
      </c>
      <c r="AB1295" s="2">
        <v>1274968</v>
      </c>
      <c r="AC1295" s="27">
        <v>0.22600000000000001</v>
      </c>
      <c r="AD1295" s="14">
        <v>3481.21</v>
      </c>
    </row>
    <row r="1296" spans="1:31" x14ac:dyDescent="0.3">
      <c r="A1296" t="s">
        <v>2019</v>
      </c>
      <c r="B1296" t="s">
        <v>172</v>
      </c>
      <c r="C1296" t="s">
        <v>172</v>
      </c>
      <c r="D1296" t="s">
        <v>172</v>
      </c>
      <c r="E1296" s="2">
        <v>755</v>
      </c>
      <c r="F1296" s="301">
        <v>0.1455842653297339</v>
      </c>
      <c r="G1296" s="14">
        <v>152.12121212121201</v>
      </c>
      <c r="H1296" s="2">
        <v>908</v>
      </c>
      <c r="I1296" s="301">
        <v>0.15622849277357193</v>
      </c>
      <c r="J1296" s="14">
        <v>181.81817599999999</v>
      </c>
      <c r="L1296" t="s">
        <v>172</v>
      </c>
      <c r="M1296" t="s">
        <v>172</v>
      </c>
      <c r="N1296" t="s">
        <v>172</v>
      </c>
      <c r="O1296" s="2">
        <v>1517</v>
      </c>
      <c r="P1296" s="301">
        <v>7.9403297566082179E-2</v>
      </c>
      <c r="Q1296" s="14">
        <v>195.75757575757501</v>
      </c>
      <c r="R1296" s="2">
        <v>1855</v>
      </c>
      <c r="S1296" s="301">
        <v>8.4865952969164604E-2</v>
      </c>
      <c r="T1296" s="14">
        <v>232.121216</v>
      </c>
      <c r="V1296" t="s">
        <v>172</v>
      </c>
      <c r="W1296" t="s">
        <v>172</v>
      </c>
      <c r="X1296" t="s">
        <v>172</v>
      </c>
      <c r="Y1296" s="2">
        <v>451686</v>
      </c>
      <c r="Z1296" s="27">
        <v>9.4E-2</v>
      </c>
      <c r="AA1296" s="14">
        <v>3724.85</v>
      </c>
      <c r="AB1296" s="2">
        <v>508973</v>
      </c>
      <c r="AC1296" s="27">
        <v>0.09</v>
      </c>
      <c r="AD1296" s="14">
        <v>4236.97</v>
      </c>
    </row>
    <row r="1297" spans="1:31" x14ac:dyDescent="0.3">
      <c r="A1297" t="s">
        <v>2020</v>
      </c>
      <c r="B1297" t="s">
        <v>172</v>
      </c>
      <c r="C1297" t="s">
        <v>172</v>
      </c>
      <c r="D1297" t="s">
        <v>172</v>
      </c>
      <c r="E1297" s="2">
        <v>148</v>
      </c>
      <c r="F1297" s="301">
        <v>2.853837254145777E-2</v>
      </c>
      <c r="G1297" s="14">
        <v>44.848484848484802</v>
      </c>
      <c r="H1297" s="2">
        <v>185</v>
      </c>
      <c r="I1297" s="301">
        <v>3.1830695113558155E-2</v>
      </c>
      <c r="J1297" s="14">
        <v>63.030304000000001</v>
      </c>
      <c r="L1297" t="s">
        <v>172</v>
      </c>
      <c r="M1297" t="s">
        <v>172</v>
      </c>
      <c r="N1297" t="s">
        <v>172</v>
      </c>
      <c r="O1297" s="2">
        <v>312</v>
      </c>
      <c r="P1297" s="301">
        <v>1.6330803454593038E-2</v>
      </c>
      <c r="Q1297" s="14">
        <v>64.848484848484802</v>
      </c>
      <c r="R1297" s="2">
        <v>371</v>
      </c>
      <c r="S1297" s="301">
        <v>1.6973190593832923E-2</v>
      </c>
      <c r="T1297" s="14">
        <v>92.727270000000004</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2021</v>
      </c>
      <c r="B1298" t="s">
        <v>172</v>
      </c>
      <c r="C1298" t="s">
        <v>172</v>
      </c>
      <c r="D1298" t="s">
        <v>172</v>
      </c>
      <c r="E1298" s="2">
        <v>187</v>
      </c>
      <c r="F1298" s="301">
        <v>3.6058619359814886E-2</v>
      </c>
      <c r="G1298" s="14">
        <v>61.212121212121197</v>
      </c>
      <c r="H1298" s="2">
        <v>125</v>
      </c>
      <c r="I1298" s="301">
        <v>2.1507226428079836E-2</v>
      </c>
      <c r="J1298" s="14">
        <v>43.030304000000001</v>
      </c>
      <c r="L1298" t="s">
        <v>172</v>
      </c>
      <c r="M1298" t="s">
        <v>172</v>
      </c>
      <c r="N1298" t="s">
        <v>172</v>
      </c>
      <c r="O1298" s="2">
        <v>576</v>
      </c>
      <c r="P1298" s="301">
        <v>3.0149175608479455E-2</v>
      </c>
      <c r="Q1298" s="14">
        <v>113.939393939393</v>
      </c>
      <c r="R1298" s="2">
        <v>438</v>
      </c>
      <c r="S1298" s="301">
        <v>2.003842986549547E-2</v>
      </c>
      <c r="T1298" s="14">
        <v>83.636359999999996</v>
      </c>
      <c r="V1298" t="s">
        <v>172</v>
      </c>
      <c r="W1298" t="s">
        <v>172</v>
      </c>
      <c r="X1298" t="s">
        <v>172</v>
      </c>
      <c r="Y1298" s="2">
        <v>141623</v>
      </c>
      <c r="Z1298" s="27">
        <v>0.03</v>
      </c>
      <c r="AA1298" s="14">
        <v>2315.7600000000002</v>
      </c>
      <c r="AB1298" s="2">
        <v>174554</v>
      </c>
      <c r="AC1298" s="27">
        <v>3.1E-2</v>
      </c>
      <c r="AD1298" s="14">
        <v>2519.39</v>
      </c>
    </row>
    <row r="1299" spans="1:31" x14ac:dyDescent="0.3">
      <c r="A1299" t="s">
        <v>2022</v>
      </c>
      <c r="B1299" t="s">
        <v>172</v>
      </c>
      <c r="C1299" t="s">
        <v>172</v>
      </c>
      <c r="D1299" t="s">
        <v>172</v>
      </c>
      <c r="E1299" s="2">
        <v>85</v>
      </c>
      <c r="F1299" s="301">
        <v>1.6390281527188584E-2</v>
      </c>
      <c r="G1299" s="14">
        <v>40.606060606060602</v>
      </c>
      <c r="H1299" s="2">
        <v>156</v>
      </c>
      <c r="I1299" s="301">
        <v>2.6841018582243633E-2</v>
      </c>
      <c r="J1299" s="14">
        <v>80.606063800000001</v>
      </c>
      <c r="L1299" t="s">
        <v>172</v>
      </c>
      <c r="M1299" t="s">
        <v>172</v>
      </c>
      <c r="N1299" t="s">
        <v>172</v>
      </c>
      <c r="O1299" s="2">
        <v>235</v>
      </c>
      <c r="P1299" s="301">
        <v>1.2300444909709499E-2</v>
      </c>
      <c r="Q1299" s="14">
        <v>67.878787878787804</v>
      </c>
      <c r="R1299" s="2">
        <v>290</v>
      </c>
      <c r="S1299" s="301">
        <v>1.3267453563912526E-2</v>
      </c>
      <c r="T1299" s="14">
        <v>93.939390000000003</v>
      </c>
      <c r="V1299" t="s">
        <v>172</v>
      </c>
      <c r="W1299" t="s">
        <v>172</v>
      </c>
      <c r="X1299" t="s">
        <v>172</v>
      </c>
      <c r="Y1299" s="2">
        <v>48988</v>
      </c>
      <c r="Z1299" s="27">
        <v>0.01</v>
      </c>
      <c r="AA1299" s="14">
        <v>1232.1199999999999</v>
      </c>
      <c r="AB1299" s="2">
        <v>65045</v>
      </c>
      <c r="AC1299" s="27">
        <v>1.2E-2</v>
      </c>
      <c r="AD1299" s="14">
        <v>1323.03</v>
      </c>
    </row>
    <row r="1300" spans="1:31" x14ac:dyDescent="0.3">
      <c r="A1300" t="s">
        <v>2023</v>
      </c>
      <c r="B1300" t="s">
        <v>172</v>
      </c>
      <c r="C1300" t="s">
        <v>172</v>
      </c>
      <c r="D1300" t="s">
        <v>172</v>
      </c>
      <c r="E1300" s="2">
        <v>1209</v>
      </c>
      <c r="F1300" s="301">
        <v>0.23312765136907057</v>
      </c>
      <c r="G1300" s="14">
        <v>138.78787878787799</v>
      </c>
      <c r="H1300" s="2">
        <v>1426</v>
      </c>
      <c r="I1300" s="301">
        <v>0.24535443909153476</v>
      </c>
      <c r="J1300" s="14">
        <v>204.84848</v>
      </c>
      <c r="L1300" t="s">
        <v>172</v>
      </c>
      <c r="M1300" t="s">
        <v>172</v>
      </c>
      <c r="N1300" t="s">
        <v>172</v>
      </c>
      <c r="O1300" s="2">
        <v>4297</v>
      </c>
      <c r="P1300" s="301">
        <v>0.22491494373200732</v>
      </c>
      <c r="Q1300" s="14">
        <v>240</v>
      </c>
      <c r="R1300" s="2">
        <v>4778</v>
      </c>
      <c r="S1300" s="301">
        <v>0.21859273492542777</v>
      </c>
      <c r="T1300" s="14">
        <v>289.69695999999999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2015</v>
      </c>
      <c r="B1301" t="s">
        <v>172</v>
      </c>
      <c r="C1301" t="s">
        <v>172</v>
      </c>
      <c r="D1301" t="s">
        <v>172</v>
      </c>
      <c r="E1301" s="2">
        <v>1162</v>
      </c>
      <c r="F1301" s="301">
        <v>0.22406478981874278</v>
      </c>
      <c r="G1301" s="14">
        <v>132.12121212121201</v>
      </c>
      <c r="H1301" s="2">
        <v>1280</v>
      </c>
      <c r="I1301" s="301">
        <v>0.22023399862353751</v>
      </c>
      <c r="J1301" s="14">
        <v>184.24243200000001</v>
      </c>
      <c r="L1301" t="s">
        <v>172</v>
      </c>
      <c r="M1301" t="s">
        <v>172</v>
      </c>
      <c r="N1301" t="s">
        <v>172</v>
      </c>
      <c r="O1301" s="2">
        <v>4075</v>
      </c>
      <c r="P1301" s="301">
        <v>0.21329494896623921</v>
      </c>
      <c r="Q1301" s="14">
        <v>234.54545454545399</v>
      </c>
      <c r="R1301" s="2">
        <v>4259</v>
      </c>
      <c r="S1301" s="301">
        <v>0.19484856803001188</v>
      </c>
      <c r="T1301" s="14">
        <v>255.75756799999999</v>
      </c>
      <c r="V1301" t="s">
        <v>172</v>
      </c>
      <c r="W1301" t="s">
        <v>172</v>
      </c>
      <c r="X1301" t="s">
        <v>172</v>
      </c>
      <c r="Y1301" s="2">
        <v>1220406</v>
      </c>
      <c r="Z1301" s="27">
        <v>0.254</v>
      </c>
      <c r="AA1301" s="14">
        <v>5934.55</v>
      </c>
      <c r="AB1301" s="2">
        <v>1389198</v>
      </c>
      <c r="AC1301" s="27">
        <v>0.246</v>
      </c>
      <c r="AD1301" s="14">
        <v>6326.06</v>
      </c>
    </row>
    <row r="1302" spans="1:31" x14ac:dyDescent="0.3">
      <c r="A1302" t="s">
        <v>2016</v>
      </c>
      <c r="B1302" t="s">
        <v>172</v>
      </c>
      <c r="C1302" t="s">
        <v>172</v>
      </c>
      <c r="D1302" t="s">
        <v>172</v>
      </c>
      <c r="E1302" s="2">
        <v>365</v>
      </c>
      <c r="F1302" s="301">
        <v>7.0381797146162745E-2</v>
      </c>
      <c r="G1302" s="14">
        <v>78.181818181818201</v>
      </c>
      <c r="H1302" s="2">
        <v>418</v>
      </c>
      <c r="I1302" s="301">
        <v>7.1920165175498971E-2</v>
      </c>
      <c r="J1302" s="14">
        <v>105.454544</v>
      </c>
      <c r="L1302" t="s">
        <v>172</v>
      </c>
      <c r="M1302" t="s">
        <v>172</v>
      </c>
      <c r="N1302" t="s">
        <v>172</v>
      </c>
      <c r="O1302" s="2">
        <v>1329</v>
      </c>
      <c r="P1302" s="301">
        <v>6.9562941638314571E-2</v>
      </c>
      <c r="Q1302" s="14">
        <v>140.60606060606</v>
      </c>
      <c r="R1302" s="2">
        <v>1498</v>
      </c>
      <c r="S1302" s="301">
        <v>6.8533260133589527E-2</v>
      </c>
      <c r="T1302" s="14">
        <v>166.060608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2024</v>
      </c>
      <c r="B1303" t="s">
        <v>172</v>
      </c>
      <c r="C1303" t="s">
        <v>172</v>
      </c>
      <c r="D1303" t="s">
        <v>172</v>
      </c>
      <c r="E1303" s="2">
        <v>357</v>
      </c>
      <c r="F1303" s="301">
        <v>6.8839182414192054E-2</v>
      </c>
      <c r="G1303" s="14">
        <v>77.575757575757507</v>
      </c>
      <c r="H1303" s="2">
        <v>317</v>
      </c>
      <c r="I1303" s="301">
        <v>5.4542326221610461E-2</v>
      </c>
      <c r="J1303" s="14">
        <v>91.515150000000006</v>
      </c>
      <c r="L1303" t="s">
        <v>172</v>
      </c>
      <c r="M1303" t="s">
        <v>172</v>
      </c>
      <c r="N1303" t="s">
        <v>172</v>
      </c>
      <c r="O1303" s="2">
        <v>1171</v>
      </c>
      <c r="P1303" s="301">
        <v>6.1292855273488614E-2</v>
      </c>
      <c r="Q1303" s="14">
        <v>141.21212121212099</v>
      </c>
      <c r="R1303" s="2">
        <v>1304</v>
      </c>
      <c r="S1303" s="301">
        <v>5.9657791197730806E-2</v>
      </c>
      <c r="T1303" s="14">
        <v>156.363632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2025</v>
      </c>
      <c r="B1304" t="s">
        <v>172</v>
      </c>
      <c r="C1304" t="s">
        <v>172</v>
      </c>
      <c r="D1304" t="s">
        <v>172</v>
      </c>
      <c r="E1304" s="2">
        <v>8</v>
      </c>
      <c r="F1304" s="301">
        <v>1.5426147319706903E-3</v>
      </c>
      <c r="G1304" s="14">
        <v>7.2727272727272698</v>
      </c>
      <c r="H1304" s="2">
        <v>101</v>
      </c>
      <c r="I1304" s="301">
        <v>1.7377838953888506E-2</v>
      </c>
      <c r="J1304" s="14">
        <v>52.727271999999999</v>
      </c>
      <c r="L1304" t="s">
        <v>172</v>
      </c>
      <c r="M1304" t="s">
        <v>172</v>
      </c>
      <c r="N1304" t="s">
        <v>172</v>
      </c>
      <c r="O1304" s="2">
        <v>158</v>
      </c>
      <c r="P1304" s="301">
        <v>8.2700863648259623E-3</v>
      </c>
      <c r="Q1304" s="14">
        <v>43.030303030303003</v>
      </c>
      <c r="R1304" s="2">
        <v>194</v>
      </c>
      <c r="S1304" s="301">
        <v>8.8754689358587248E-3</v>
      </c>
      <c r="T1304" s="14">
        <v>70.303030000000007</v>
      </c>
      <c r="V1304" t="s">
        <v>172</v>
      </c>
      <c r="W1304" t="s">
        <v>172</v>
      </c>
      <c r="X1304" t="s">
        <v>172</v>
      </c>
      <c r="Y1304" s="2">
        <v>49198</v>
      </c>
      <c r="Z1304" s="27">
        <v>0.01</v>
      </c>
      <c r="AA1304" s="14">
        <v>801.21</v>
      </c>
      <c r="AB1304" s="2">
        <v>62248</v>
      </c>
      <c r="AC1304" s="27">
        <v>1.0999999999999999E-2</v>
      </c>
      <c r="AD1304" s="14">
        <v>1196.97</v>
      </c>
    </row>
    <row r="1305" spans="1:31" x14ac:dyDescent="0.3">
      <c r="A1305" t="s">
        <v>2017</v>
      </c>
      <c r="B1305" t="s">
        <v>172</v>
      </c>
      <c r="C1305" t="s">
        <v>172</v>
      </c>
      <c r="D1305" t="s">
        <v>172</v>
      </c>
      <c r="E1305" s="2">
        <v>797</v>
      </c>
      <c r="F1305" s="301">
        <v>0.15368299267258001</v>
      </c>
      <c r="G1305" s="14">
        <v>98.181818181818201</v>
      </c>
      <c r="H1305" s="2">
        <v>862</v>
      </c>
      <c r="I1305" s="301">
        <v>0.14831383344803853</v>
      </c>
      <c r="J1305" s="14">
        <v>144.84848</v>
      </c>
      <c r="L1305" t="s">
        <v>172</v>
      </c>
      <c r="M1305" t="s">
        <v>172</v>
      </c>
      <c r="N1305" t="s">
        <v>172</v>
      </c>
      <c r="O1305" s="2">
        <v>2746</v>
      </c>
      <c r="P1305" s="301">
        <v>0.14373200732792463</v>
      </c>
      <c r="Q1305" s="14">
        <v>178.18181818181799</v>
      </c>
      <c r="R1305" s="2">
        <v>2761</v>
      </c>
      <c r="S1305" s="301">
        <v>0.12631530789642237</v>
      </c>
      <c r="T1305" s="14">
        <v>198.78787199999999</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2024</v>
      </c>
      <c r="B1306" t="s">
        <v>172</v>
      </c>
      <c r="C1306" t="s">
        <v>172</v>
      </c>
      <c r="D1306" t="s">
        <v>172</v>
      </c>
      <c r="E1306" s="2">
        <v>750</v>
      </c>
      <c r="F1306" s="301">
        <v>0.14462013112225222</v>
      </c>
      <c r="G1306" s="14">
        <v>93.939393939393895</v>
      </c>
      <c r="H1306" s="2">
        <v>820</v>
      </c>
      <c r="I1306" s="301">
        <v>0.14108740536820372</v>
      </c>
      <c r="J1306" s="14">
        <v>137.57576</v>
      </c>
      <c r="L1306" t="s">
        <v>172</v>
      </c>
      <c r="M1306" t="s">
        <v>172</v>
      </c>
      <c r="N1306" t="s">
        <v>172</v>
      </c>
      <c r="O1306" s="2">
        <v>2574</v>
      </c>
      <c r="P1306" s="301">
        <v>0.13472912850039256</v>
      </c>
      <c r="Q1306" s="14">
        <v>173.333333333333</v>
      </c>
      <c r="R1306" s="2">
        <v>2523</v>
      </c>
      <c r="S1306" s="301">
        <v>0.11542684600603897</v>
      </c>
      <c r="T1306" s="14">
        <v>195.15152</v>
      </c>
      <c r="V1306" t="s">
        <v>172</v>
      </c>
      <c r="W1306" t="s">
        <v>172</v>
      </c>
      <c r="X1306" t="s">
        <v>172</v>
      </c>
      <c r="Y1306" s="2">
        <v>767597</v>
      </c>
      <c r="Z1306" s="27">
        <v>0.16</v>
      </c>
      <c r="AA1306" s="14">
        <v>3985.45</v>
      </c>
      <c r="AB1306" s="2">
        <v>848193</v>
      </c>
      <c r="AC1306" s="27">
        <v>0.15</v>
      </c>
      <c r="AD1306" s="14">
        <v>4347.2700000000004</v>
      </c>
    </row>
    <row r="1307" spans="1:31" x14ac:dyDescent="0.3">
      <c r="A1307" t="s">
        <v>2025</v>
      </c>
      <c r="B1307" t="s">
        <v>172</v>
      </c>
      <c r="C1307" t="s">
        <v>172</v>
      </c>
      <c r="D1307" t="s">
        <v>172</v>
      </c>
      <c r="E1307" s="2">
        <v>47</v>
      </c>
      <c r="F1307" s="301">
        <v>9.0628615503278061E-3</v>
      </c>
      <c r="G1307" s="14">
        <v>23.030303030302999</v>
      </c>
      <c r="H1307" s="2">
        <v>42</v>
      </c>
      <c r="I1307" s="301">
        <v>7.2264280798348245E-3</v>
      </c>
      <c r="J1307" s="14">
        <v>38.181820000000002</v>
      </c>
      <c r="L1307" t="s">
        <v>172</v>
      </c>
      <c r="M1307" t="s">
        <v>172</v>
      </c>
      <c r="N1307" t="s">
        <v>172</v>
      </c>
      <c r="O1307" s="2">
        <v>172</v>
      </c>
      <c r="P1307" s="301">
        <v>9.0028788275320591E-3</v>
      </c>
      <c r="Q1307" s="14">
        <v>54.545454545454497</v>
      </c>
      <c r="R1307" s="2">
        <v>238</v>
      </c>
      <c r="S1307" s="301">
        <v>1.0888461890383384E-2</v>
      </c>
      <c r="T1307" s="14">
        <v>79.393936199999999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2022</v>
      </c>
      <c r="B1308" t="s">
        <v>172</v>
      </c>
      <c r="C1308" t="s">
        <v>172</v>
      </c>
      <c r="D1308" t="s">
        <v>172</v>
      </c>
      <c r="E1308" s="2">
        <v>47</v>
      </c>
      <c r="F1308" s="301">
        <v>9.0628615503278061E-3</v>
      </c>
      <c r="G1308" s="14">
        <v>26.060606060605998</v>
      </c>
      <c r="H1308" s="2">
        <v>146</v>
      </c>
      <c r="I1308" s="301">
        <v>2.5120440467997246E-2</v>
      </c>
      <c r="J1308" s="14">
        <v>83.030304000000001</v>
      </c>
      <c r="L1308" t="s">
        <v>172</v>
      </c>
      <c r="M1308" t="s">
        <v>172</v>
      </c>
      <c r="N1308" t="s">
        <v>172</v>
      </c>
      <c r="O1308" s="2">
        <v>222</v>
      </c>
      <c r="P1308" s="301">
        <v>1.1619994765768124E-2</v>
      </c>
      <c r="Q1308" s="14">
        <v>59.393939393939398</v>
      </c>
      <c r="R1308" s="2">
        <v>519</v>
      </c>
      <c r="S1308" s="301">
        <v>2.3744166895415867E-2</v>
      </c>
      <c r="T1308" s="14">
        <v>145.454544</v>
      </c>
      <c r="V1308" t="s">
        <v>172</v>
      </c>
      <c r="W1308" t="s">
        <v>172</v>
      </c>
      <c r="X1308" t="s">
        <v>172</v>
      </c>
      <c r="Y1308" s="2">
        <v>95233</v>
      </c>
      <c r="Z1308" s="27">
        <v>0.02</v>
      </c>
      <c r="AA1308" s="14">
        <v>1521.21</v>
      </c>
      <c r="AB1308" s="2">
        <v>125822</v>
      </c>
      <c r="AC1308" s="27">
        <v>2.1999999999999999E-2</v>
      </c>
      <c r="AD1308" s="14">
        <v>2071.52</v>
      </c>
    </row>
    <row r="1309" spans="1:31" x14ac:dyDescent="0.3">
      <c r="A1309" t="s">
        <v>2026</v>
      </c>
      <c r="B1309" t="s">
        <v>172</v>
      </c>
      <c r="C1309" t="s">
        <v>172</v>
      </c>
      <c r="D1309" t="s">
        <v>172</v>
      </c>
      <c r="E1309" s="2">
        <v>188</v>
      </c>
      <c r="F1309" s="301">
        <v>3.6251446201311224E-2</v>
      </c>
      <c r="G1309" s="2">
        <v>47.272727272727202</v>
      </c>
      <c r="H1309" s="2">
        <v>153</v>
      </c>
      <c r="I1309" s="301">
        <v>2.6324845147969719E-2</v>
      </c>
      <c r="J1309" s="14">
        <v>45.4545441</v>
      </c>
      <c r="L1309" t="s">
        <v>172</v>
      </c>
      <c r="M1309" t="s">
        <v>172</v>
      </c>
      <c r="N1309" t="s">
        <v>172</v>
      </c>
      <c r="O1309" s="2">
        <v>588</v>
      </c>
      <c r="P1309" s="301">
        <v>3.077728343365611E-2</v>
      </c>
      <c r="Q1309" s="2">
        <v>91.515151515151501</v>
      </c>
      <c r="R1309" s="2">
        <v>618</v>
      </c>
      <c r="S1309" s="301">
        <v>2.8273401043096349E-2</v>
      </c>
      <c r="T1309" s="14">
        <v>94.545455899999993</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2027</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172</v>
      </c>
      <c r="C1312" t="s">
        <v>172</v>
      </c>
      <c r="D1312" t="s">
        <v>172</v>
      </c>
      <c r="E1312" s="304" t="s">
        <v>1706</v>
      </c>
      <c r="F1312" s="304"/>
      <c r="G1312" s="304" t="s">
        <v>1707</v>
      </c>
      <c r="H1312" s="304" t="s">
        <v>1706</v>
      </c>
      <c r="I1312" s="304"/>
      <c r="J1312" s="304" t="s">
        <v>1707</v>
      </c>
      <c r="K1312" t="s">
        <v>172</v>
      </c>
      <c r="L1312" t="s">
        <v>172</v>
      </c>
      <c r="M1312" t="s">
        <v>172</v>
      </c>
      <c r="N1312" t="s">
        <v>172</v>
      </c>
      <c r="O1312" s="304" t="s">
        <v>1706</v>
      </c>
      <c r="P1312" s="304"/>
      <c r="Q1312" s="304" t="s">
        <v>1707</v>
      </c>
      <c r="R1312" s="304" t="s">
        <v>1706</v>
      </c>
      <c r="S1312" s="304"/>
      <c r="T1312" s="304" t="s">
        <v>1707</v>
      </c>
      <c r="U1312" t="s">
        <v>172</v>
      </c>
      <c r="V1312" t="s">
        <v>172</v>
      </c>
      <c r="W1312" t="s">
        <v>172</v>
      </c>
      <c r="X1312" t="s">
        <v>172</v>
      </c>
      <c r="Y1312" s="207" t="s">
        <v>1706</v>
      </c>
      <c r="Z1312" s="207"/>
      <c r="AA1312" s="207" t="s">
        <v>1707</v>
      </c>
      <c r="AB1312" s="207" t="s">
        <v>1706</v>
      </c>
      <c r="AC1312" s="207"/>
      <c r="AD1312" s="207" t="s">
        <v>1707</v>
      </c>
      <c r="AE1312" t="s">
        <v>172</v>
      </c>
    </row>
    <row r="1313" spans="1:30" x14ac:dyDescent="0.3">
      <c r="A1313" t="s">
        <v>174</v>
      </c>
      <c r="B1313" t="s">
        <v>172</v>
      </c>
      <c r="C1313" t="s">
        <v>172</v>
      </c>
      <c r="D1313" t="s">
        <v>172</v>
      </c>
      <c r="E1313" s="2">
        <v>62829</v>
      </c>
      <c r="F1313" t="s">
        <v>172</v>
      </c>
      <c r="G1313" s="14">
        <v>54.545454545454497</v>
      </c>
      <c r="H1313" s="2">
        <v>64757</v>
      </c>
      <c r="I1313" t="s">
        <v>172</v>
      </c>
      <c r="J1313" s="14">
        <v>118.181816</v>
      </c>
      <c r="L1313" t="s">
        <v>172</v>
      </c>
      <c r="M1313" t="s">
        <v>172</v>
      </c>
      <c r="N1313" t="s">
        <v>172</v>
      </c>
      <c r="O1313" s="2">
        <v>144677</v>
      </c>
      <c r="P1313" t="s">
        <v>172</v>
      </c>
      <c r="Q1313" s="14">
        <v>398.18181818181802</v>
      </c>
      <c r="R1313" s="2">
        <v>147831</v>
      </c>
      <c r="S1313" t="s">
        <v>172</v>
      </c>
      <c r="T1313" s="14">
        <v>335.75756799999999</v>
      </c>
      <c r="V1313" t="s">
        <v>172</v>
      </c>
      <c r="W1313" t="s">
        <v>172</v>
      </c>
      <c r="X1313" t="s">
        <v>172</v>
      </c>
      <c r="Y1313" s="2">
        <v>37912312</v>
      </c>
      <c r="Z1313" s="27" t="s">
        <v>172</v>
      </c>
      <c r="AA1313" s="14">
        <v>1469.09</v>
      </c>
      <c r="AB1313" s="2">
        <v>38838726</v>
      </c>
      <c r="AC1313" s="27" t="s">
        <v>172</v>
      </c>
      <c r="AD1313" s="14">
        <v>1783.64</v>
      </c>
    </row>
    <row r="1314" spans="1:30" x14ac:dyDescent="0.3">
      <c r="A1314" t="s">
        <v>2028</v>
      </c>
      <c r="B1314" t="s">
        <v>172</v>
      </c>
      <c r="C1314" t="s">
        <v>172</v>
      </c>
      <c r="D1314" t="s">
        <v>172</v>
      </c>
      <c r="E1314" s="2">
        <v>30927</v>
      </c>
      <c r="F1314" s="301">
        <v>0.49224084419615144</v>
      </c>
      <c r="G1314" s="14">
        <v>369.69696969696901</v>
      </c>
      <c r="H1314" s="2">
        <v>31521</v>
      </c>
      <c r="I1314" s="301">
        <v>0.48675818830396717</v>
      </c>
      <c r="J1314" s="14">
        <v>364.24243200000001</v>
      </c>
      <c r="L1314" t="s">
        <v>172</v>
      </c>
      <c r="M1314" t="s">
        <v>172</v>
      </c>
      <c r="N1314" t="s">
        <v>172</v>
      </c>
      <c r="O1314" s="2">
        <v>72257</v>
      </c>
      <c r="P1314" s="301">
        <v>0.49943667618211601</v>
      </c>
      <c r="Q1314" s="14">
        <v>256.969696969697</v>
      </c>
      <c r="R1314" s="2">
        <v>72113</v>
      </c>
      <c r="S1314" s="301">
        <v>0.48780702288423944</v>
      </c>
      <c r="T1314" s="14">
        <v>254.545456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3034</v>
      </c>
      <c r="F1315" s="301">
        <v>4.8289802479746617E-2</v>
      </c>
      <c r="G1315" s="14">
        <v>180</v>
      </c>
      <c r="H1315" s="2">
        <v>2870</v>
      </c>
      <c r="I1315" s="301">
        <v>4.4319533023456925E-2</v>
      </c>
      <c r="J1315" s="14">
        <v>210.909088</v>
      </c>
      <c r="L1315" t="s">
        <v>172</v>
      </c>
      <c r="M1315" t="s">
        <v>172</v>
      </c>
      <c r="N1315" t="s">
        <v>172</v>
      </c>
      <c r="O1315" s="2">
        <v>5856</v>
      </c>
      <c r="P1315" s="301">
        <v>4.0476371503417957E-2</v>
      </c>
      <c r="Q1315" s="14">
        <v>65.454545454545396</v>
      </c>
      <c r="R1315" s="2">
        <v>5847</v>
      </c>
      <c r="S1315" s="301">
        <v>3.9551920774397793E-2</v>
      </c>
      <c r="T1315" s="14">
        <v>50.9090919</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2029</v>
      </c>
      <c r="B1316" t="s">
        <v>172</v>
      </c>
      <c r="C1316" t="s">
        <v>172</v>
      </c>
      <c r="D1316" t="s">
        <v>172</v>
      </c>
      <c r="E1316" s="2">
        <v>0</v>
      </c>
      <c r="F1316" s="301">
        <v>0</v>
      </c>
      <c r="G1316" s="14">
        <v>16.969696969696901</v>
      </c>
      <c r="H1316" s="2">
        <v>0</v>
      </c>
      <c r="I1316" s="301">
        <v>0</v>
      </c>
      <c r="J1316" s="14">
        <v>18.787877999999999</v>
      </c>
      <c r="L1316" t="s">
        <v>172</v>
      </c>
      <c r="M1316" t="s">
        <v>172</v>
      </c>
      <c r="N1316" t="s">
        <v>172</v>
      </c>
      <c r="O1316" s="2">
        <v>0</v>
      </c>
      <c r="P1316" s="301">
        <v>0</v>
      </c>
      <c r="Q1316" s="14">
        <v>16.969696969696901</v>
      </c>
      <c r="R1316" s="2">
        <v>0</v>
      </c>
      <c r="S1316" s="301">
        <v>0</v>
      </c>
      <c r="T1316" s="14">
        <v>18.787877999999999</v>
      </c>
      <c r="V1316" t="s">
        <v>172</v>
      </c>
      <c r="W1316" t="s">
        <v>172</v>
      </c>
      <c r="X1316" t="s">
        <v>172</v>
      </c>
      <c r="Y1316" s="2">
        <v>6113</v>
      </c>
      <c r="Z1316" s="27">
        <v>0</v>
      </c>
      <c r="AA1316" s="14">
        <v>388.48</v>
      </c>
      <c r="AB1316" s="2">
        <v>7238</v>
      </c>
      <c r="AC1316" s="27">
        <v>0</v>
      </c>
      <c r="AD1316" s="14">
        <v>464.24</v>
      </c>
    </row>
    <row r="1317" spans="1:30" x14ac:dyDescent="0.3">
      <c r="A1317" t="s">
        <v>2030</v>
      </c>
      <c r="B1317" t="s">
        <v>172</v>
      </c>
      <c r="C1317" t="s">
        <v>172</v>
      </c>
      <c r="D1317" t="s">
        <v>172</v>
      </c>
      <c r="E1317" s="2">
        <v>3034</v>
      </c>
      <c r="F1317" s="301">
        <v>4.8289802479746617E-2</v>
      </c>
      <c r="G1317" s="14">
        <v>180</v>
      </c>
      <c r="H1317" s="2">
        <v>2870</v>
      </c>
      <c r="I1317" s="301">
        <v>4.4319533023456925E-2</v>
      </c>
      <c r="J1317" s="14">
        <v>210.909088</v>
      </c>
      <c r="L1317" t="s">
        <v>172</v>
      </c>
      <c r="M1317" t="s">
        <v>172</v>
      </c>
      <c r="N1317" t="s">
        <v>172</v>
      </c>
      <c r="O1317" s="2">
        <v>5856</v>
      </c>
      <c r="P1317" s="301">
        <v>4.0476371503417957E-2</v>
      </c>
      <c r="Q1317" s="14">
        <v>65.454545454545396</v>
      </c>
      <c r="R1317" s="2">
        <v>5847</v>
      </c>
      <c r="S1317" s="301">
        <v>3.9551920774397793E-2</v>
      </c>
      <c r="T1317" s="14">
        <v>50.9090919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2031</v>
      </c>
      <c r="B1318" t="s">
        <v>172</v>
      </c>
      <c r="C1318" t="s">
        <v>172</v>
      </c>
      <c r="D1318" t="s">
        <v>172</v>
      </c>
      <c r="E1318" s="2">
        <v>7590</v>
      </c>
      <c r="F1318" s="301">
        <v>0.12080408728453421</v>
      </c>
      <c r="G1318" s="14">
        <v>269.69696969696901</v>
      </c>
      <c r="H1318" s="2">
        <v>7938</v>
      </c>
      <c r="I1318" s="301">
        <v>0.12258134255756134</v>
      </c>
      <c r="J1318" s="14">
        <v>257.57574499999998</v>
      </c>
      <c r="L1318" t="s">
        <v>172</v>
      </c>
      <c r="M1318" t="s">
        <v>172</v>
      </c>
      <c r="N1318" t="s">
        <v>172</v>
      </c>
      <c r="O1318" s="2">
        <v>15721</v>
      </c>
      <c r="P1318" s="301">
        <v>0.10866274528777899</v>
      </c>
      <c r="Q1318" s="14">
        <v>135.15151515151501</v>
      </c>
      <c r="R1318" s="2">
        <v>15821</v>
      </c>
      <c r="S1318" s="301">
        <v>0.10702085489511672</v>
      </c>
      <c r="T1318" s="14">
        <v>87.878784199999998</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2029</v>
      </c>
      <c r="B1319" t="s">
        <v>172</v>
      </c>
      <c r="C1319" t="s">
        <v>172</v>
      </c>
      <c r="D1319" t="s">
        <v>172</v>
      </c>
      <c r="E1319" s="2">
        <v>52</v>
      </c>
      <c r="F1319" s="301">
        <v>8.2764328574384436E-4</v>
      </c>
      <c r="G1319" s="14">
        <v>26.6666666666666</v>
      </c>
      <c r="H1319" s="2">
        <v>49</v>
      </c>
      <c r="I1319" s="301">
        <v>7.5667495405902063E-4</v>
      </c>
      <c r="J1319" s="14">
        <v>38.787880000000001</v>
      </c>
      <c r="L1319" t="s">
        <v>172</v>
      </c>
      <c r="M1319" t="s">
        <v>172</v>
      </c>
      <c r="N1319" t="s">
        <v>172</v>
      </c>
      <c r="O1319" s="2">
        <v>100</v>
      </c>
      <c r="P1319" s="301">
        <v>6.9119486856929571E-4</v>
      </c>
      <c r="Q1319" s="14">
        <v>43.030303030303003</v>
      </c>
      <c r="R1319" s="2">
        <v>89</v>
      </c>
      <c r="S1319" s="301">
        <v>6.0203881459233851E-4</v>
      </c>
      <c r="T1319" s="14">
        <v>47.878788</v>
      </c>
      <c r="V1319" t="s">
        <v>172</v>
      </c>
      <c r="W1319" t="s">
        <v>172</v>
      </c>
      <c r="X1319" t="s">
        <v>172</v>
      </c>
      <c r="Y1319" s="2">
        <v>19849</v>
      </c>
      <c r="Z1319" s="27">
        <v>1E-3</v>
      </c>
      <c r="AA1319" s="14">
        <v>571.52</v>
      </c>
      <c r="AB1319" s="2">
        <v>18615</v>
      </c>
      <c r="AC1319" s="27">
        <v>0</v>
      </c>
      <c r="AD1319" s="14">
        <v>705.45</v>
      </c>
    </row>
    <row r="1320" spans="1:30" x14ac:dyDescent="0.3">
      <c r="A1320" t="s">
        <v>2030</v>
      </c>
      <c r="B1320" t="s">
        <v>172</v>
      </c>
      <c r="C1320" t="s">
        <v>172</v>
      </c>
      <c r="D1320" t="s">
        <v>172</v>
      </c>
      <c r="E1320" s="2">
        <v>7538</v>
      </c>
      <c r="F1320" s="301">
        <v>0.11997644399879037</v>
      </c>
      <c r="G1320" s="14">
        <v>270.90909090909003</v>
      </c>
      <c r="H1320" s="2">
        <v>7889</v>
      </c>
      <c r="I1320" s="301">
        <v>0.12182466760350233</v>
      </c>
      <c r="J1320" s="14">
        <v>255.75756799999999</v>
      </c>
      <c r="L1320" t="s">
        <v>172</v>
      </c>
      <c r="M1320" t="s">
        <v>172</v>
      </c>
      <c r="N1320" t="s">
        <v>172</v>
      </c>
      <c r="O1320" s="2">
        <v>15621</v>
      </c>
      <c r="P1320" s="301">
        <v>0.10797155041920969</v>
      </c>
      <c r="Q1320" s="14">
        <v>142.42424242424201</v>
      </c>
      <c r="R1320" s="2">
        <v>15732</v>
      </c>
      <c r="S1320" s="301">
        <v>0.10641881608052438</v>
      </c>
      <c r="T1320" s="14">
        <v>100</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2032</v>
      </c>
      <c r="B1321" t="s">
        <v>172</v>
      </c>
      <c r="C1321" t="s">
        <v>172</v>
      </c>
      <c r="D1321" t="s">
        <v>172</v>
      </c>
      <c r="E1321" s="2">
        <v>8632</v>
      </c>
      <c r="F1321" s="301">
        <v>0.13738878543347818</v>
      </c>
      <c r="G1321" s="14">
        <v>309.09090909090901</v>
      </c>
      <c r="H1321" s="2">
        <v>8351</v>
      </c>
      <c r="I1321" s="301">
        <v>0.1289590314560588</v>
      </c>
      <c r="J1321" s="14">
        <v>294.54544099999998</v>
      </c>
      <c r="L1321" t="s">
        <v>172</v>
      </c>
      <c r="M1321" t="s">
        <v>172</v>
      </c>
      <c r="N1321" t="s">
        <v>172</v>
      </c>
      <c r="O1321" s="2">
        <v>17134</v>
      </c>
      <c r="P1321" s="301">
        <v>0.11842932878066313</v>
      </c>
      <c r="Q1321" s="14">
        <v>133.939393939393</v>
      </c>
      <c r="R1321" s="2">
        <v>16548</v>
      </c>
      <c r="S1321" s="301">
        <v>0.11193863262779796</v>
      </c>
      <c r="T1321" s="14">
        <v>134.545456</v>
      </c>
      <c r="V1321" t="s">
        <v>172</v>
      </c>
      <c r="W1321" t="s">
        <v>172</v>
      </c>
      <c r="X1321" t="s">
        <v>172</v>
      </c>
      <c r="Y1321" s="2">
        <v>4741790</v>
      </c>
      <c r="Z1321" s="27">
        <v>0.125</v>
      </c>
      <c r="AA1321" s="14">
        <v>1612.12</v>
      </c>
      <c r="AB1321" s="2">
        <v>4816407</v>
      </c>
      <c r="AC1321" s="27">
        <v>0.124</v>
      </c>
      <c r="AD1321" s="14">
        <v>1673.33</v>
      </c>
    </row>
    <row r="1322" spans="1:30" x14ac:dyDescent="0.3">
      <c r="A1322" t="s">
        <v>2029</v>
      </c>
      <c r="B1322" t="s">
        <v>172</v>
      </c>
      <c r="C1322" t="s">
        <v>172</v>
      </c>
      <c r="D1322" t="s">
        <v>172</v>
      </c>
      <c r="E1322" s="2">
        <v>69</v>
      </c>
      <c r="F1322" s="301">
        <v>1.0982189753139474E-3</v>
      </c>
      <c r="G1322" s="14">
        <v>49.090909090909101</v>
      </c>
      <c r="H1322" s="2">
        <v>168</v>
      </c>
      <c r="I1322" s="301">
        <v>2.5943141282023566E-3</v>
      </c>
      <c r="J1322" s="14">
        <v>71.515150000000006</v>
      </c>
      <c r="L1322" t="s">
        <v>172</v>
      </c>
      <c r="M1322" t="s">
        <v>172</v>
      </c>
      <c r="N1322" t="s">
        <v>172</v>
      </c>
      <c r="O1322" s="2">
        <v>300</v>
      </c>
      <c r="P1322" s="301">
        <v>2.0735846057078873E-3</v>
      </c>
      <c r="Q1322" s="14">
        <v>100</v>
      </c>
      <c r="R1322" s="2">
        <v>299</v>
      </c>
      <c r="S1322" s="301">
        <v>2.0225798377877442E-3</v>
      </c>
      <c r="T1322" s="14">
        <v>83.636359999999996</v>
      </c>
      <c r="V1322" t="s">
        <v>172</v>
      </c>
      <c r="W1322" t="s">
        <v>172</v>
      </c>
      <c r="X1322" t="s">
        <v>172</v>
      </c>
      <c r="Y1322" s="2">
        <v>37128</v>
      </c>
      <c r="Z1322" s="27">
        <v>1E-3</v>
      </c>
      <c r="AA1322" s="14">
        <v>852.73</v>
      </c>
      <c r="AB1322" s="2">
        <v>37680</v>
      </c>
      <c r="AC1322" s="27">
        <v>1E-3</v>
      </c>
      <c r="AD1322" s="14">
        <v>1027.8800000000001</v>
      </c>
    </row>
    <row r="1323" spans="1:30" x14ac:dyDescent="0.3">
      <c r="A1323" t="s">
        <v>2030</v>
      </c>
      <c r="B1323" t="s">
        <v>172</v>
      </c>
      <c r="C1323" t="s">
        <v>172</v>
      </c>
      <c r="D1323" t="s">
        <v>172</v>
      </c>
      <c r="E1323" s="2">
        <v>8563</v>
      </c>
      <c r="F1323" s="301">
        <v>0.13629056645816423</v>
      </c>
      <c r="G1323" s="14">
        <v>314.54545454545399</v>
      </c>
      <c r="H1323" s="2">
        <v>8183</v>
      </c>
      <c r="I1323" s="301">
        <v>0.12636471732785645</v>
      </c>
      <c r="J1323" s="14">
        <v>309.69695999999999</v>
      </c>
      <c r="L1323" t="s">
        <v>172</v>
      </c>
      <c r="M1323" t="s">
        <v>172</v>
      </c>
      <c r="N1323" t="s">
        <v>172</v>
      </c>
      <c r="O1323" s="2">
        <v>16834</v>
      </c>
      <c r="P1323" s="301">
        <v>0.11635574417495524</v>
      </c>
      <c r="Q1323" s="14">
        <v>163.030303030303</v>
      </c>
      <c r="R1323" s="2">
        <v>16249</v>
      </c>
      <c r="S1323" s="301">
        <v>0.10991605279001021</v>
      </c>
      <c r="T1323" s="14">
        <v>164.24243200000001</v>
      </c>
      <c r="V1323" t="s">
        <v>172</v>
      </c>
      <c r="W1323" t="s">
        <v>172</v>
      </c>
      <c r="X1323" t="s">
        <v>172</v>
      </c>
      <c r="Y1323" s="2">
        <v>4704662</v>
      </c>
      <c r="Z1323" s="27">
        <v>0.124</v>
      </c>
      <c r="AA1323" s="14">
        <v>1671.52</v>
      </c>
      <c r="AB1323" s="2">
        <v>4778727</v>
      </c>
      <c r="AC1323" s="27">
        <v>0.123</v>
      </c>
      <c r="AD1323" s="14">
        <v>2067.88</v>
      </c>
    </row>
    <row r="1324" spans="1:30" x14ac:dyDescent="0.3">
      <c r="A1324" t="s">
        <v>2033</v>
      </c>
      <c r="B1324" t="s">
        <v>172</v>
      </c>
      <c r="C1324" t="s">
        <v>172</v>
      </c>
      <c r="D1324" t="s">
        <v>172</v>
      </c>
      <c r="E1324" s="2">
        <v>9561</v>
      </c>
      <c r="F1324" s="301">
        <v>0.15217495105763262</v>
      </c>
      <c r="G1324" s="14">
        <v>252.12121212121201</v>
      </c>
      <c r="H1324" s="2">
        <v>9792</v>
      </c>
      <c r="I1324" s="301">
        <v>0.15121145204379449</v>
      </c>
      <c r="J1324" s="14">
        <v>298.18182400000001</v>
      </c>
      <c r="L1324" t="s">
        <v>172</v>
      </c>
      <c r="M1324" t="s">
        <v>172</v>
      </c>
      <c r="N1324" t="s">
        <v>172</v>
      </c>
      <c r="O1324" s="2">
        <v>24669</v>
      </c>
      <c r="P1324" s="301">
        <v>0.17051086212735955</v>
      </c>
      <c r="Q1324" s="14">
        <v>168.48484848484799</v>
      </c>
      <c r="R1324" s="2">
        <v>23784</v>
      </c>
      <c r="S1324" s="301">
        <v>0.16088641759847394</v>
      </c>
      <c r="T1324" s="14">
        <v>184.24243200000001</v>
      </c>
      <c r="V1324" t="s">
        <v>172</v>
      </c>
      <c r="W1324" t="s">
        <v>172</v>
      </c>
      <c r="X1324" t="s">
        <v>172</v>
      </c>
      <c r="Y1324" s="2">
        <v>7195146</v>
      </c>
      <c r="Z1324" s="27">
        <v>0.19</v>
      </c>
      <c r="AA1324" s="14">
        <v>1241.21</v>
      </c>
      <c r="AB1324" s="2">
        <v>7309447</v>
      </c>
      <c r="AC1324" s="27">
        <v>0.188</v>
      </c>
      <c r="AD1324" s="14">
        <v>1505.45</v>
      </c>
    </row>
    <row r="1325" spans="1:30" x14ac:dyDescent="0.3">
      <c r="A1325" t="s">
        <v>2029</v>
      </c>
      <c r="B1325" t="s">
        <v>172</v>
      </c>
      <c r="C1325" t="s">
        <v>172</v>
      </c>
      <c r="D1325" t="s">
        <v>172</v>
      </c>
      <c r="E1325" s="2">
        <v>395</v>
      </c>
      <c r="F1325" s="301">
        <v>6.2869057282465106E-3</v>
      </c>
      <c r="G1325" s="14">
        <v>90.303030303030297</v>
      </c>
      <c r="H1325" s="2">
        <v>362</v>
      </c>
      <c r="I1325" s="301">
        <v>5.5901292524360296E-3</v>
      </c>
      <c r="J1325" s="14">
        <v>107.878784</v>
      </c>
      <c r="L1325" t="s">
        <v>172</v>
      </c>
      <c r="M1325" t="s">
        <v>172</v>
      </c>
      <c r="N1325" t="s">
        <v>172</v>
      </c>
      <c r="O1325" s="2">
        <v>1325</v>
      </c>
      <c r="P1325" s="301">
        <v>9.1583320085431678E-3</v>
      </c>
      <c r="Q1325" s="14">
        <v>130.30303030303</v>
      </c>
      <c r="R1325" s="2">
        <v>820</v>
      </c>
      <c r="S1325" s="301">
        <v>5.5468744715249166E-3</v>
      </c>
      <c r="T1325" s="14">
        <v>130.909088</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2030</v>
      </c>
      <c r="B1326" t="s">
        <v>172</v>
      </c>
      <c r="C1326" t="s">
        <v>172</v>
      </c>
      <c r="D1326" t="s">
        <v>172</v>
      </c>
      <c r="E1326" s="2">
        <v>9166</v>
      </c>
      <c r="F1326" s="301">
        <v>0.14588804532938612</v>
      </c>
      <c r="G1326" s="14">
        <v>251.51515151515099</v>
      </c>
      <c r="H1326" s="2">
        <v>9430</v>
      </c>
      <c r="I1326" s="301">
        <v>0.14562132279135848</v>
      </c>
      <c r="J1326" s="14">
        <v>292.121216</v>
      </c>
      <c r="L1326" t="s">
        <v>172</v>
      </c>
      <c r="M1326" t="s">
        <v>172</v>
      </c>
      <c r="N1326" t="s">
        <v>172</v>
      </c>
      <c r="O1326" s="2">
        <v>23344</v>
      </c>
      <c r="P1326" s="301">
        <v>0.1613525301188164</v>
      </c>
      <c r="Q1326" s="14">
        <v>189.69696969696901</v>
      </c>
      <c r="R1326" s="2">
        <v>22964</v>
      </c>
      <c r="S1326" s="301">
        <v>0.155339543126949</v>
      </c>
      <c r="T1326" s="14">
        <v>226.66667200000001</v>
      </c>
      <c r="V1326" t="s">
        <v>172</v>
      </c>
      <c r="W1326" t="s">
        <v>172</v>
      </c>
      <c r="X1326" t="s">
        <v>172</v>
      </c>
      <c r="Y1326" s="2">
        <v>7010609</v>
      </c>
      <c r="Z1326" s="27">
        <v>0.185</v>
      </c>
      <c r="AA1326" s="14">
        <v>2179.39</v>
      </c>
      <c r="AB1326" s="2">
        <v>7135726</v>
      </c>
      <c r="AC1326" s="27">
        <v>0.184</v>
      </c>
      <c r="AD1326" s="14">
        <v>2621.21</v>
      </c>
    </row>
    <row r="1327" spans="1:30" x14ac:dyDescent="0.3">
      <c r="A1327" t="s">
        <v>2034</v>
      </c>
      <c r="B1327" t="s">
        <v>172</v>
      </c>
      <c r="C1327" t="s">
        <v>172</v>
      </c>
      <c r="D1327" t="s">
        <v>172</v>
      </c>
      <c r="E1327" s="2">
        <v>1266</v>
      </c>
      <c r="F1327" s="301">
        <v>2.0149930764455905E-2</v>
      </c>
      <c r="G1327" s="14">
        <v>115.757575757575</v>
      </c>
      <c r="H1327" s="2">
        <v>1486</v>
      </c>
      <c r="I1327" s="301">
        <v>2.2947326157789893E-2</v>
      </c>
      <c r="J1327" s="14">
        <v>176.363632</v>
      </c>
      <c r="L1327" t="s">
        <v>172</v>
      </c>
      <c r="M1327" t="s">
        <v>172</v>
      </c>
      <c r="N1327" t="s">
        <v>172</v>
      </c>
      <c r="O1327" s="2">
        <v>5370</v>
      </c>
      <c r="P1327" s="301">
        <v>3.7117164442171183E-2</v>
      </c>
      <c r="Q1327" s="14">
        <v>72.121212121212096</v>
      </c>
      <c r="R1327" s="2">
        <v>6251</v>
      </c>
      <c r="S1327" s="301">
        <v>4.2284771123783239E-2</v>
      </c>
      <c r="T1327" s="14">
        <v>73.333335899999994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2029</v>
      </c>
      <c r="B1328" t="s">
        <v>172</v>
      </c>
      <c r="C1328" t="s">
        <v>172</v>
      </c>
      <c r="D1328" t="s">
        <v>172</v>
      </c>
      <c r="E1328" s="2">
        <v>291</v>
      </c>
      <c r="F1328" s="301">
        <v>4.6316191567588212E-3</v>
      </c>
      <c r="G1328" s="14">
        <v>72.121212121212096</v>
      </c>
      <c r="H1328" s="2">
        <v>280</v>
      </c>
      <c r="I1328" s="301">
        <v>4.3238568803372606E-3</v>
      </c>
      <c r="J1328" s="14">
        <v>80.606063800000001</v>
      </c>
      <c r="L1328" t="s">
        <v>172</v>
      </c>
      <c r="M1328" t="s">
        <v>172</v>
      </c>
      <c r="N1328" t="s">
        <v>172</v>
      </c>
      <c r="O1328" s="2">
        <v>1014</v>
      </c>
      <c r="P1328" s="301">
        <v>7.0087159672926587E-3</v>
      </c>
      <c r="Q1328" s="14">
        <v>115.151515151515</v>
      </c>
      <c r="R1328" s="2">
        <v>1210</v>
      </c>
      <c r="S1328" s="301">
        <v>8.1850220860306706E-3</v>
      </c>
      <c r="T1328" s="14">
        <v>141.21212800000001</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2030</v>
      </c>
      <c r="B1329" t="s">
        <v>172</v>
      </c>
      <c r="C1329" t="s">
        <v>172</v>
      </c>
      <c r="D1329" t="s">
        <v>172</v>
      </c>
      <c r="E1329" s="2">
        <v>975</v>
      </c>
      <c r="F1329" s="301">
        <v>1.5518311607697082E-2</v>
      </c>
      <c r="G1329" s="14">
        <v>108.484848484848</v>
      </c>
      <c r="H1329" s="2">
        <v>1206</v>
      </c>
      <c r="I1329" s="301">
        <v>1.862346927745263E-2</v>
      </c>
      <c r="J1329" s="14">
        <v>172.121216</v>
      </c>
      <c r="L1329" t="s">
        <v>172</v>
      </c>
      <c r="M1329" t="s">
        <v>172</v>
      </c>
      <c r="N1329" t="s">
        <v>172</v>
      </c>
      <c r="O1329" s="2">
        <v>4356</v>
      </c>
      <c r="P1329" s="301">
        <v>3.0108448474878521E-2</v>
      </c>
      <c r="Q1329" s="14">
        <v>138.78787878787799</v>
      </c>
      <c r="R1329" s="2">
        <v>5041</v>
      </c>
      <c r="S1329" s="301">
        <v>3.4099749037752571E-2</v>
      </c>
      <c r="T1329" s="14">
        <v>160</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2035</v>
      </c>
      <c r="B1330" t="s">
        <v>172</v>
      </c>
      <c r="C1330" t="s">
        <v>172</v>
      </c>
      <c r="D1330" t="s">
        <v>172</v>
      </c>
      <c r="E1330" s="2">
        <v>844</v>
      </c>
      <c r="F1330" s="301">
        <v>1.3433287176303935E-2</v>
      </c>
      <c r="G1330" s="14">
        <v>106.06060606060601</v>
      </c>
      <c r="H1330" s="2">
        <v>1084</v>
      </c>
      <c r="I1330" s="301">
        <v>1.673950306530568E-2</v>
      </c>
      <c r="J1330" s="14">
        <v>144.24243200000001</v>
      </c>
      <c r="L1330" t="s">
        <v>172</v>
      </c>
      <c r="M1330" t="s">
        <v>172</v>
      </c>
      <c r="N1330" t="s">
        <v>172</v>
      </c>
      <c r="O1330" s="2">
        <v>3507</v>
      </c>
      <c r="P1330" s="301">
        <v>2.4240204040725202E-2</v>
      </c>
      <c r="Q1330" s="14">
        <v>73.3333333333333</v>
      </c>
      <c r="R1330" s="2">
        <v>3862</v>
      </c>
      <c r="S1330" s="301">
        <v>2.612442586466979E-2</v>
      </c>
      <c r="T1330" s="14">
        <v>46.060607900000001</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2029</v>
      </c>
      <c r="B1331" t="s">
        <v>172</v>
      </c>
      <c r="C1331" t="s">
        <v>172</v>
      </c>
      <c r="D1331" t="s">
        <v>172</v>
      </c>
      <c r="E1331" s="2">
        <v>351</v>
      </c>
      <c r="F1331" s="301">
        <v>5.5865921787709499E-3</v>
      </c>
      <c r="G1331" s="14">
        <v>65.454545454545396</v>
      </c>
      <c r="H1331" s="2">
        <v>444</v>
      </c>
      <c r="I1331" s="301">
        <v>6.8564016245347996E-3</v>
      </c>
      <c r="J1331" s="14">
        <v>108.484848</v>
      </c>
      <c r="L1331" t="s">
        <v>172</v>
      </c>
      <c r="M1331" t="s">
        <v>172</v>
      </c>
      <c r="N1331" t="s">
        <v>172</v>
      </c>
      <c r="O1331" s="2">
        <v>1254</v>
      </c>
      <c r="P1331" s="301">
        <v>8.6675836518589691E-3</v>
      </c>
      <c r="Q1331" s="14">
        <v>136.363636363636</v>
      </c>
      <c r="R1331" s="2">
        <v>1466</v>
      </c>
      <c r="S1331" s="301">
        <v>9.9167292381164979E-3</v>
      </c>
      <c r="T1331" s="14">
        <v>141.81817599999999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2030</v>
      </c>
      <c r="B1332" t="s">
        <v>172</v>
      </c>
      <c r="C1332" t="s">
        <v>172</v>
      </c>
      <c r="D1332" t="s">
        <v>172</v>
      </c>
      <c r="E1332" s="2">
        <v>493</v>
      </c>
      <c r="F1332" s="301">
        <v>7.8466949975329863E-3</v>
      </c>
      <c r="G1332" s="14">
        <v>85.454545454545396</v>
      </c>
      <c r="H1332" s="2">
        <v>640</v>
      </c>
      <c r="I1332" s="301">
        <v>9.8831014407708816E-3</v>
      </c>
      <c r="J1332" s="14">
        <v>103.030304</v>
      </c>
      <c r="L1332" t="s">
        <v>172</v>
      </c>
      <c r="M1332" t="s">
        <v>172</v>
      </c>
      <c r="N1332" t="s">
        <v>172</v>
      </c>
      <c r="O1332" s="2">
        <v>2253</v>
      </c>
      <c r="P1332" s="301">
        <v>1.5572620388866233E-2</v>
      </c>
      <c r="Q1332" s="14">
        <v>125.454545454545</v>
      </c>
      <c r="R1332" s="2">
        <v>2396</v>
      </c>
      <c r="S1332" s="301">
        <v>1.6207696626553292E-2</v>
      </c>
      <c r="T1332" s="14">
        <v>152.121216</v>
      </c>
      <c r="V1332" t="s">
        <v>172</v>
      </c>
      <c r="W1332" t="s">
        <v>172</v>
      </c>
      <c r="X1332" t="s">
        <v>172</v>
      </c>
      <c r="Y1332" s="2">
        <v>613773</v>
      </c>
      <c r="Z1332" s="27">
        <v>1.6E-2</v>
      </c>
      <c r="AA1332" s="14">
        <v>1726.67</v>
      </c>
      <c r="AB1332" s="2">
        <v>717313</v>
      </c>
      <c r="AC1332" s="27">
        <v>1.7999999999999999E-2</v>
      </c>
      <c r="AD1332" s="14">
        <v>2229.09</v>
      </c>
    </row>
    <row r="1333" spans="1:30" x14ac:dyDescent="0.3">
      <c r="A1333" t="s">
        <v>2036</v>
      </c>
      <c r="B1333" t="s">
        <v>172</v>
      </c>
      <c r="C1333" t="s">
        <v>172</v>
      </c>
      <c r="D1333" t="s">
        <v>172</v>
      </c>
      <c r="E1333" s="2">
        <v>31902</v>
      </c>
      <c r="F1333" s="301">
        <v>0.50775915580384856</v>
      </c>
      <c r="G1333" s="14">
        <v>374.54545454545399</v>
      </c>
      <c r="H1333" s="2">
        <v>33236</v>
      </c>
      <c r="I1333" s="301">
        <v>0.51324181169603289</v>
      </c>
      <c r="J1333" s="14">
        <v>344.24243200000001</v>
      </c>
      <c r="L1333" t="s">
        <v>172</v>
      </c>
      <c r="M1333" t="s">
        <v>172</v>
      </c>
      <c r="N1333" t="s">
        <v>172</v>
      </c>
      <c r="O1333" s="2">
        <v>72420</v>
      </c>
      <c r="P1333" s="301">
        <v>0.50056332381788393</v>
      </c>
      <c r="Q1333" s="14">
        <v>426.06060606060601</v>
      </c>
      <c r="R1333" s="2">
        <v>75718</v>
      </c>
      <c r="S1333" s="301">
        <v>0.51219297711576062</v>
      </c>
      <c r="T1333" s="14">
        <v>296.96969999999999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3277</v>
      </c>
      <c r="F1334" s="301">
        <v>5.2157443218895733E-2</v>
      </c>
      <c r="G1334" s="14">
        <v>200.60606060606</v>
      </c>
      <c r="H1334" s="2">
        <v>3037</v>
      </c>
      <c r="I1334" s="301">
        <v>4.6898404805658073E-2</v>
      </c>
      <c r="J1334" s="14">
        <v>198.78787199999999</v>
      </c>
      <c r="L1334" t="s">
        <v>172</v>
      </c>
      <c r="M1334" t="s">
        <v>172</v>
      </c>
      <c r="N1334" t="s">
        <v>172</v>
      </c>
      <c r="O1334" s="2">
        <v>5879</v>
      </c>
      <c r="P1334" s="301">
        <v>4.0635346323188895E-2</v>
      </c>
      <c r="Q1334" s="14">
        <v>70.303030303030297</v>
      </c>
      <c r="R1334" s="2">
        <v>5537</v>
      </c>
      <c r="S1334" s="301">
        <v>3.7454931644918858E-2</v>
      </c>
      <c r="T1334" s="14">
        <v>70.909090000000006</v>
      </c>
      <c r="V1334" t="s">
        <v>172</v>
      </c>
      <c r="W1334" t="s">
        <v>172</v>
      </c>
      <c r="X1334" t="s">
        <v>172</v>
      </c>
      <c r="Y1334" s="2">
        <v>1227959</v>
      </c>
      <c r="Z1334" s="27">
        <v>3.2000000000000001E-2</v>
      </c>
      <c r="AA1334" s="14">
        <v>301.82</v>
      </c>
      <c r="AB1334" s="2">
        <v>1175933</v>
      </c>
      <c r="AC1334" s="27">
        <v>0.03</v>
      </c>
      <c r="AD1334" s="14">
        <v>451.52</v>
      </c>
    </row>
    <row r="1335" spans="1:30" x14ac:dyDescent="0.3">
      <c r="A1335" t="s">
        <v>2029</v>
      </c>
      <c r="B1335" t="s">
        <v>172</v>
      </c>
      <c r="C1335" t="s">
        <v>172</v>
      </c>
      <c r="D1335" t="s">
        <v>172</v>
      </c>
      <c r="E1335" s="2">
        <v>9</v>
      </c>
      <c r="F1335" s="301">
        <v>1.4324595330181923E-4</v>
      </c>
      <c r="G1335" s="14">
        <v>8.4848484848484809</v>
      </c>
      <c r="H1335" s="2">
        <v>0</v>
      </c>
      <c r="I1335" s="301">
        <v>0</v>
      </c>
      <c r="J1335" s="14">
        <v>18.787877999999999</v>
      </c>
      <c r="L1335" t="s">
        <v>172</v>
      </c>
      <c r="M1335" t="s">
        <v>172</v>
      </c>
      <c r="N1335" t="s">
        <v>172</v>
      </c>
      <c r="O1335" s="2">
        <v>14</v>
      </c>
      <c r="P1335" s="301">
        <v>9.6767281599701406E-5</v>
      </c>
      <c r="Q1335" s="14">
        <v>10.909090909090899</v>
      </c>
      <c r="R1335" s="2">
        <v>0</v>
      </c>
      <c r="S1335" s="301">
        <v>0</v>
      </c>
      <c r="T1335" s="14">
        <v>18.787877999999999</v>
      </c>
      <c r="V1335" t="s">
        <v>172</v>
      </c>
      <c r="W1335" t="s">
        <v>172</v>
      </c>
      <c r="X1335" t="s">
        <v>172</v>
      </c>
      <c r="Y1335" s="2">
        <v>5529</v>
      </c>
      <c r="Z1335" s="27">
        <v>0</v>
      </c>
      <c r="AA1335" s="14">
        <v>371.52</v>
      </c>
      <c r="AB1335" s="2">
        <v>5026</v>
      </c>
      <c r="AC1335" s="27">
        <v>0</v>
      </c>
      <c r="AD1335" s="14">
        <v>361.82</v>
      </c>
    </row>
    <row r="1336" spans="1:30" x14ac:dyDescent="0.3">
      <c r="A1336" t="s">
        <v>2030</v>
      </c>
      <c r="B1336" t="s">
        <v>172</v>
      </c>
      <c r="C1336" t="s">
        <v>172</v>
      </c>
      <c r="D1336" t="s">
        <v>172</v>
      </c>
      <c r="E1336" s="2">
        <v>3268</v>
      </c>
      <c r="F1336" s="301">
        <v>5.2014197265593913E-2</v>
      </c>
      <c r="G1336" s="14">
        <v>200</v>
      </c>
      <c r="H1336" s="2">
        <v>3037</v>
      </c>
      <c r="I1336" s="301">
        <v>4.6898404805658073E-2</v>
      </c>
      <c r="J1336" s="14">
        <v>198.78787199999999</v>
      </c>
      <c r="L1336" t="s">
        <v>172</v>
      </c>
      <c r="M1336" t="s">
        <v>172</v>
      </c>
      <c r="N1336" t="s">
        <v>172</v>
      </c>
      <c r="O1336" s="2">
        <v>5865</v>
      </c>
      <c r="P1336" s="301">
        <v>4.0538579041589196E-2</v>
      </c>
      <c r="Q1336" s="14">
        <v>72.121212121212096</v>
      </c>
      <c r="R1336" s="2">
        <v>5537</v>
      </c>
      <c r="S1336" s="301">
        <v>3.7454931644918858E-2</v>
      </c>
      <c r="T1336" s="14">
        <v>70.909090000000006</v>
      </c>
      <c r="V1336" t="s">
        <v>172</v>
      </c>
      <c r="W1336" t="s">
        <v>172</v>
      </c>
      <c r="X1336" t="s">
        <v>172</v>
      </c>
      <c r="Y1336" s="2">
        <v>1222430</v>
      </c>
      <c r="Z1336" s="27">
        <v>3.2000000000000001E-2</v>
      </c>
      <c r="AA1336" s="14">
        <v>444.24</v>
      </c>
      <c r="AB1336" s="2">
        <v>1170907</v>
      </c>
      <c r="AC1336" s="27">
        <v>0.03</v>
      </c>
      <c r="AD1336" s="14">
        <v>651.52</v>
      </c>
    </row>
    <row r="1337" spans="1:30" x14ac:dyDescent="0.3">
      <c r="A1337" t="s">
        <v>2031</v>
      </c>
      <c r="B1337" t="s">
        <v>172</v>
      </c>
      <c r="C1337" t="s">
        <v>172</v>
      </c>
      <c r="D1337" t="s">
        <v>172</v>
      </c>
      <c r="E1337" s="2">
        <v>7596</v>
      </c>
      <c r="F1337" s="301">
        <v>0.12089958458673543</v>
      </c>
      <c r="G1337" s="14">
        <v>268.48484848484799</v>
      </c>
      <c r="H1337" s="2">
        <v>7773</v>
      </c>
      <c r="I1337" s="301">
        <v>0.1200333554673626</v>
      </c>
      <c r="J1337" s="14">
        <v>293.33334400000001</v>
      </c>
      <c r="L1337" t="s">
        <v>172</v>
      </c>
      <c r="M1337" t="s">
        <v>172</v>
      </c>
      <c r="N1337" t="s">
        <v>172</v>
      </c>
      <c r="O1337" s="2">
        <v>15242</v>
      </c>
      <c r="P1337" s="301">
        <v>0.10535192186733205</v>
      </c>
      <c r="Q1337" s="14">
        <v>110.90909090909</v>
      </c>
      <c r="R1337" s="2">
        <v>15518</v>
      </c>
      <c r="S1337" s="301">
        <v>0.10497121713307764</v>
      </c>
      <c r="T1337" s="14">
        <v>44.242424</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2029</v>
      </c>
      <c r="B1338" t="s">
        <v>172</v>
      </c>
      <c r="C1338" t="s">
        <v>172</v>
      </c>
      <c r="D1338" t="s">
        <v>172</v>
      </c>
      <c r="E1338" s="2">
        <v>27</v>
      </c>
      <c r="F1338" s="301">
        <v>4.2973785990545768E-4</v>
      </c>
      <c r="G1338" s="14">
        <v>16.363636363636299</v>
      </c>
      <c r="H1338" s="2">
        <v>30</v>
      </c>
      <c r="I1338" s="301">
        <v>4.632703800361351E-4</v>
      </c>
      <c r="J1338" s="14">
        <v>22.424242</v>
      </c>
      <c r="L1338" t="s">
        <v>172</v>
      </c>
      <c r="M1338" t="s">
        <v>172</v>
      </c>
      <c r="N1338" t="s">
        <v>172</v>
      </c>
      <c r="O1338" s="2">
        <v>59</v>
      </c>
      <c r="P1338" s="301">
        <v>4.0780497245588448E-4</v>
      </c>
      <c r="Q1338" s="14">
        <v>16.969696969696901</v>
      </c>
      <c r="R1338" s="2">
        <v>42</v>
      </c>
      <c r="S1338" s="301">
        <v>2.8410820463908111E-4</v>
      </c>
      <c r="T1338" s="14">
        <v>24.848483999999999</v>
      </c>
      <c r="V1338" t="s">
        <v>172</v>
      </c>
      <c r="W1338" t="s">
        <v>172</v>
      </c>
      <c r="X1338" t="s">
        <v>172</v>
      </c>
      <c r="Y1338" s="2">
        <v>15458</v>
      </c>
      <c r="Z1338" s="27">
        <v>0</v>
      </c>
      <c r="AA1338" s="14">
        <v>547.88</v>
      </c>
      <c r="AB1338" s="2">
        <v>15257</v>
      </c>
      <c r="AC1338" s="27">
        <v>0</v>
      </c>
      <c r="AD1338" s="14">
        <v>582.41999999999996</v>
      </c>
    </row>
    <row r="1339" spans="1:30" x14ac:dyDescent="0.3">
      <c r="A1339" t="s">
        <v>2030</v>
      </c>
      <c r="B1339" t="s">
        <v>172</v>
      </c>
      <c r="C1339" t="s">
        <v>172</v>
      </c>
      <c r="D1339" t="s">
        <v>172</v>
      </c>
      <c r="E1339" s="2">
        <v>7569</v>
      </c>
      <c r="F1339" s="301">
        <v>0.12046984672682996</v>
      </c>
      <c r="G1339" s="14">
        <v>269.69696969696901</v>
      </c>
      <c r="H1339" s="2">
        <v>7743</v>
      </c>
      <c r="I1339" s="301">
        <v>0.11957008508732647</v>
      </c>
      <c r="J1339" s="14">
        <v>291.51513699999998</v>
      </c>
      <c r="L1339" t="s">
        <v>172</v>
      </c>
      <c r="M1339" t="s">
        <v>172</v>
      </c>
      <c r="N1339" t="s">
        <v>172</v>
      </c>
      <c r="O1339" s="2">
        <v>15183</v>
      </c>
      <c r="P1339" s="301">
        <v>0.10494411689487618</v>
      </c>
      <c r="Q1339" s="14">
        <v>111.515151515151</v>
      </c>
      <c r="R1339" s="2">
        <v>15476</v>
      </c>
      <c r="S1339" s="301">
        <v>0.10468710892843855</v>
      </c>
      <c r="T1339" s="14">
        <v>44.242424</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2032</v>
      </c>
      <c r="B1340" t="s">
        <v>172</v>
      </c>
      <c r="C1340" t="s">
        <v>172</v>
      </c>
      <c r="D1340" t="s">
        <v>172</v>
      </c>
      <c r="E1340" s="2">
        <v>7874</v>
      </c>
      <c r="F1340" s="301">
        <v>0.12532429292205829</v>
      </c>
      <c r="G1340" s="14">
        <v>296.969696969697</v>
      </c>
      <c r="H1340" s="2">
        <v>8241</v>
      </c>
      <c r="I1340" s="301">
        <v>0.1272603733959263</v>
      </c>
      <c r="J1340" s="14">
        <v>317.57574499999998</v>
      </c>
      <c r="L1340" t="s">
        <v>172</v>
      </c>
      <c r="M1340" t="s">
        <v>172</v>
      </c>
      <c r="N1340" t="s">
        <v>172</v>
      </c>
      <c r="O1340" s="2">
        <v>16144</v>
      </c>
      <c r="P1340" s="301">
        <v>0.11158649958182711</v>
      </c>
      <c r="Q1340" s="14">
        <v>258.78787878787801</v>
      </c>
      <c r="R1340" s="2">
        <v>16979</v>
      </c>
      <c r="S1340" s="301">
        <v>0.11485412396587996</v>
      </c>
      <c r="T1340" s="14">
        <v>264.24243200000001</v>
      </c>
      <c r="V1340" t="s">
        <v>172</v>
      </c>
      <c r="W1340" t="s">
        <v>172</v>
      </c>
      <c r="X1340" t="s">
        <v>172</v>
      </c>
      <c r="Y1340" s="2">
        <v>4637444</v>
      </c>
      <c r="Z1340" s="27">
        <v>0.122</v>
      </c>
      <c r="AA1340" s="14">
        <v>757.58</v>
      </c>
      <c r="AB1340" s="2">
        <v>4690779</v>
      </c>
      <c r="AC1340" s="27">
        <v>0.121</v>
      </c>
      <c r="AD1340" s="14">
        <v>973.33</v>
      </c>
    </row>
    <row r="1341" spans="1:30" x14ac:dyDescent="0.3">
      <c r="A1341" t="s">
        <v>2029</v>
      </c>
      <c r="B1341" t="s">
        <v>172</v>
      </c>
      <c r="C1341" t="s">
        <v>172</v>
      </c>
      <c r="D1341" t="s">
        <v>172</v>
      </c>
      <c r="E1341" s="2">
        <v>50</v>
      </c>
      <c r="F1341" s="301">
        <v>7.9581085167677347E-4</v>
      </c>
      <c r="G1341" s="14">
        <v>26.6666666666666</v>
      </c>
      <c r="H1341" s="2">
        <v>181</v>
      </c>
      <c r="I1341" s="301">
        <v>2.7950646262180148E-3</v>
      </c>
      <c r="J1341" s="14">
        <v>92.727270000000004</v>
      </c>
      <c r="L1341" t="s">
        <v>172</v>
      </c>
      <c r="M1341" t="s">
        <v>172</v>
      </c>
      <c r="N1341" t="s">
        <v>172</v>
      </c>
      <c r="O1341" s="2">
        <v>84</v>
      </c>
      <c r="P1341" s="301">
        <v>5.8060368959820846E-4</v>
      </c>
      <c r="Q1341" s="14">
        <v>40</v>
      </c>
      <c r="R1341" s="2">
        <v>293</v>
      </c>
      <c r="S1341" s="301">
        <v>1.9819929514107324E-3</v>
      </c>
      <c r="T1341" s="14">
        <v>116.36364</v>
      </c>
      <c r="V1341" t="s">
        <v>172</v>
      </c>
      <c r="W1341" t="s">
        <v>172</v>
      </c>
      <c r="X1341" t="s">
        <v>172</v>
      </c>
      <c r="Y1341" s="2">
        <v>26628</v>
      </c>
      <c r="Z1341" s="27">
        <v>1E-3</v>
      </c>
      <c r="AA1341" s="14">
        <v>758.79</v>
      </c>
      <c r="AB1341" s="2">
        <v>27980</v>
      </c>
      <c r="AC1341" s="27">
        <v>1E-3</v>
      </c>
      <c r="AD1341" s="14">
        <v>860.61</v>
      </c>
    </row>
    <row r="1342" spans="1:30" x14ac:dyDescent="0.3">
      <c r="A1342" t="s">
        <v>2030</v>
      </c>
      <c r="B1342" t="s">
        <v>172</v>
      </c>
      <c r="C1342" t="s">
        <v>172</v>
      </c>
      <c r="D1342" t="s">
        <v>172</v>
      </c>
      <c r="E1342" s="2">
        <v>7824</v>
      </c>
      <c r="F1342" s="301">
        <v>0.12452848207038152</v>
      </c>
      <c r="G1342" s="14">
        <v>302.42424242424198</v>
      </c>
      <c r="H1342" s="2">
        <v>8060</v>
      </c>
      <c r="I1342" s="301">
        <v>0.12446530876970829</v>
      </c>
      <c r="J1342" s="14">
        <v>329.69695999999999</v>
      </c>
      <c r="L1342" t="s">
        <v>172</v>
      </c>
      <c r="M1342" t="s">
        <v>172</v>
      </c>
      <c r="N1342" t="s">
        <v>172</v>
      </c>
      <c r="O1342" s="2">
        <v>16060</v>
      </c>
      <c r="P1342" s="301">
        <v>0.1110058958922289</v>
      </c>
      <c r="Q1342" s="14">
        <v>266.666666666666</v>
      </c>
      <c r="R1342" s="2">
        <v>16686</v>
      </c>
      <c r="S1342" s="301">
        <v>0.11287213101446923</v>
      </c>
      <c r="T1342" s="14">
        <v>302.42425500000002</v>
      </c>
      <c r="V1342" t="s">
        <v>172</v>
      </c>
      <c r="W1342" t="s">
        <v>172</v>
      </c>
      <c r="X1342" t="s">
        <v>172</v>
      </c>
      <c r="Y1342" s="2">
        <v>4610816</v>
      </c>
      <c r="Z1342" s="27">
        <v>0.122</v>
      </c>
      <c r="AA1342" s="14">
        <v>1058.79</v>
      </c>
      <c r="AB1342" s="2">
        <v>4662799</v>
      </c>
      <c r="AC1342" s="27">
        <v>0.12</v>
      </c>
      <c r="AD1342" s="14">
        <v>1215.1500000000001</v>
      </c>
    </row>
    <row r="1343" spans="1:30" x14ac:dyDescent="0.3">
      <c r="A1343" t="s">
        <v>2033</v>
      </c>
      <c r="B1343" t="s">
        <v>172</v>
      </c>
      <c r="C1343" t="s">
        <v>172</v>
      </c>
      <c r="D1343" t="s">
        <v>172</v>
      </c>
      <c r="E1343" s="2">
        <v>10259</v>
      </c>
      <c r="F1343" s="301">
        <v>0.16328447054704037</v>
      </c>
      <c r="G1343" s="14">
        <v>305.45454545454498</v>
      </c>
      <c r="H1343" s="2">
        <v>11074</v>
      </c>
      <c r="I1343" s="301">
        <v>0.17100853961733867</v>
      </c>
      <c r="J1343" s="14">
        <v>316.36364700000001</v>
      </c>
      <c r="L1343" t="s">
        <v>172</v>
      </c>
      <c r="M1343" t="s">
        <v>172</v>
      </c>
      <c r="N1343" t="s">
        <v>172</v>
      </c>
      <c r="O1343" s="2">
        <v>25488</v>
      </c>
      <c r="P1343" s="301">
        <v>0.1761717481009421</v>
      </c>
      <c r="Q1343" s="14">
        <v>240</v>
      </c>
      <c r="R1343" s="2">
        <v>26502</v>
      </c>
      <c r="S1343" s="301">
        <v>0.17927227712726018</v>
      </c>
      <c r="T1343" s="14">
        <v>275.15152</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2029</v>
      </c>
      <c r="B1344" t="s">
        <v>172</v>
      </c>
      <c r="C1344" t="s">
        <v>172</v>
      </c>
      <c r="D1344" t="s">
        <v>172</v>
      </c>
      <c r="E1344" s="2">
        <v>273</v>
      </c>
      <c r="F1344" s="301">
        <v>4.3451272501551829E-3</v>
      </c>
      <c r="G1344" s="14">
        <v>75.757575757575694</v>
      </c>
      <c r="H1344" s="2">
        <v>445</v>
      </c>
      <c r="I1344" s="301">
        <v>6.8718439705360039E-3</v>
      </c>
      <c r="J1344" s="14">
        <v>130.30302399999999</v>
      </c>
      <c r="L1344" t="s">
        <v>172</v>
      </c>
      <c r="M1344" t="s">
        <v>172</v>
      </c>
      <c r="N1344" t="s">
        <v>172</v>
      </c>
      <c r="O1344" s="2">
        <v>632</v>
      </c>
      <c r="P1344" s="301">
        <v>4.3683515693579492E-3</v>
      </c>
      <c r="Q1344" s="14">
        <v>108.484848484848</v>
      </c>
      <c r="R1344" s="2">
        <v>1080</v>
      </c>
      <c r="S1344" s="301">
        <v>7.3056395478620856E-3</v>
      </c>
      <c r="T1344" s="14">
        <v>189.69697600000001</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2030</v>
      </c>
      <c r="B1345" t="s">
        <v>172</v>
      </c>
      <c r="C1345" t="s">
        <v>172</v>
      </c>
      <c r="D1345" t="s">
        <v>172</v>
      </c>
      <c r="E1345" s="2">
        <v>9986</v>
      </c>
      <c r="F1345" s="301">
        <v>0.15893934329688519</v>
      </c>
      <c r="G1345" s="14">
        <v>312.72727272727201</v>
      </c>
      <c r="H1345" s="2">
        <v>10629</v>
      </c>
      <c r="I1345" s="301">
        <v>0.16413669564680267</v>
      </c>
      <c r="J1345" s="14">
        <v>318.18182400000001</v>
      </c>
      <c r="L1345" t="s">
        <v>172</v>
      </c>
      <c r="M1345" t="s">
        <v>172</v>
      </c>
      <c r="N1345" t="s">
        <v>172</v>
      </c>
      <c r="O1345" s="2">
        <v>24856</v>
      </c>
      <c r="P1345" s="301">
        <v>0.17180339653158416</v>
      </c>
      <c r="Q1345" s="14">
        <v>256.969696969697</v>
      </c>
      <c r="R1345" s="2">
        <v>25422</v>
      </c>
      <c r="S1345" s="301">
        <v>0.17196663757939809</v>
      </c>
      <c r="T1345" s="14">
        <v>337.57574499999998</v>
      </c>
      <c r="V1345" t="s">
        <v>172</v>
      </c>
      <c r="W1345" t="s">
        <v>172</v>
      </c>
      <c r="X1345" t="s">
        <v>172</v>
      </c>
      <c r="Y1345" s="2">
        <v>7356606</v>
      </c>
      <c r="Z1345" s="27">
        <v>0.19400000000000001</v>
      </c>
      <c r="AA1345" s="14">
        <v>1660</v>
      </c>
      <c r="AB1345" s="2">
        <v>7413755</v>
      </c>
      <c r="AC1345" s="27">
        <v>0.191</v>
      </c>
      <c r="AD1345" s="14">
        <v>1733.94</v>
      </c>
    </row>
    <row r="1346" spans="1:31" x14ac:dyDescent="0.3">
      <c r="A1346" t="s">
        <v>2034</v>
      </c>
      <c r="B1346" t="s">
        <v>172</v>
      </c>
      <c r="C1346" t="s">
        <v>172</v>
      </c>
      <c r="D1346" t="s">
        <v>172</v>
      </c>
      <c r="E1346" s="2">
        <v>1589</v>
      </c>
      <c r="F1346" s="301">
        <v>2.5290868866287862E-2</v>
      </c>
      <c r="G1346" s="14">
        <v>106.666666666666</v>
      </c>
      <c r="H1346" s="2">
        <v>1695</v>
      </c>
      <c r="I1346" s="301">
        <v>2.6174776472041632E-2</v>
      </c>
      <c r="J1346" s="14">
        <v>136.96969999999999</v>
      </c>
      <c r="L1346" t="s">
        <v>172</v>
      </c>
      <c r="M1346" t="s">
        <v>172</v>
      </c>
      <c r="N1346" t="s">
        <v>172</v>
      </c>
      <c r="O1346" s="2">
        <v>5649</v>
      </c>
      <c r="P1346" s="301">
        <v>3.9045598125479516E-2</v>
      </c>
      <c r="Q1346" s="14">
        <v>78.181818181818201</v>
      </c>
      <c r="R1346" s="2">
        <v>6649</v>
      </c>
      <c r="S1346" s="301">
        <v>4.4977034586791677E-2</v>
      </c>
      <c r="T1346" s="14">
        <v>96.969695999999999</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2029</v>
      </c>
      <c r="B1347" t="s">
        <v>172</v>
      </c>
      <c r="C1347" t="s">
        <v>172</v>
      </c>
      <c r="D1347" t="s">
        <v>172</v>
      </c>
      <c r="E1347" s="2">
        <v>258</v>
      </c>
      <c r="F1347" s="301">
        <v>4.1063839946521513E-3</v>
      </c>
      <c r="G1347" s="14">
        <v>70.303030303030297</v>
      </c>
      <c r="H1347" s="2">
        <v>34</v>
      </c>
      <c r="I1347" s="301">
        <v>5.2503976404095305E-4</v>
      </c>
      <c r="J1347" s="14">
        <v>24.848483999999999</v>
      </c>
      <c r="L1347" t="s">
        <v>172</v>
      </c>
      <c r="M1347" t="s">
        <v>172</v>
      </c>
      <c r="N1347" t="s">
        <v>172</v>
      </c>
      <c r="O1347" s="2">
        <v>559</v>
      </c>
      <c r="P1347" s="301">
        <v>3.8637793153023631E-3</v>
      </c>
      <c r="Q1347" s="14">
        <v>94.545454545454504</v>
      </c>
      <c r="R1347" s="2">
        <v>453</v>
      </c>
      <c r="S1347" s="301">
        <v>3.0643099214643747E-3</v>
      </c>
      <c r="T1347" s="14">
        <v>107.878784</v>
      </c>
      <c r="V1347" t="s">
        <v>172</v>
      </c>
      <c r="W1347" t="s">
        <v>172</v>
      </c>
      <c r="X1347" t="s">
        <v>172</v>
      </c>
      <c r="Y1347" s="2">
        <v>77473</v>
      </c>
      <c r="Z1347" s="27">
        <v>2E-3</v>
      </c>
      <c r="AA1347" s="14">
        <v>1173.33</v>
      </c>
      <c r="AB1347" s="2">
        <v>86113</v>
      </c>
      <c r="AC1347" s="27">
        <v>2E-3</v>
      </c>
      <c r="AD1347" s="14">
        <v>1306.06</v>
      </c>
    </row>
    <row r="1348" spans="1:31" x14ac:dyDescent="0.3">
      <c r="A1348" t="s">
        <v>2030</v>
      </c>
      <c r="B1348" t="s">
        <v>172</v>
      </c>
      <c r="C1348" t="s">
        <v>172</v>
      </c>
      <c r="D1348" t="s">
        <v>172</v>
      </c>
      <c r="E1348" s="2">
        <v>1331</v>
      </c>
      <c r="F1348" s="301">
        <v>2.1184484871635708E-2</v>
      </c>
      <c r="G1348" s="14">
        <v>99.393939393939405</v>
      </c>
      <c r="H1348" s="2">
        <v>1661</v>
      </c>
      <c r="I1348" s="301">
        <v>2.5649736708000678E-2</v>
      </c>
      <c r="J1348" s="14">
        <v>140</v>
      </c>
      <c r="L1348" t="s">
        <v>172</v>
      </c>
      <c r="M1348" t="s">
        <v>172</v>
      </c>
      <c r="N1348" t="s">
        <v>172</v>
      </c>
      <c r="O1348" s="2">
        <v>5090</v>
      </c>
      <c r="P1348" s="301">
        <v>3.5181818810177151E-2</v>
      </c>
      <c r="Q1348" s="14">
        <v>122.424242424242</v>
      </c>
      <c r="R1348" s="2">
        <v>6196</v>
      </c>
      <c r="S1348" s="301">
        <v>4.1912724665327299E-2</v>
      </c>
      <c r="T1348" s="14">
        <v>136.363632</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2035</v>
      </c>
      <c r="B1349" t="s">
        <v>172</v>
      </c>
      <c r="C1349" t="s">
        <v>172</v>
      </c>
      <c r="D1349" t="s">
        <v>172</v>
      </c>
      <c r="E1349" s="2">
        <v>1307</v>
      </c>
      <c r="F1349" s="301">
        <v>2.0802495662830857E-2</v>
      </c>
      <c r="G1349" s="14">
        <v>143.030303030303</v>
      </c>
      <c r="H1349" s="2">
        <v>1416</v>
      </c>
      <c r="I1349" s="301">
        <v>2.1866361937705577E-2</v>
      </c>
      <c r="J1349" s="14">
        <v>143.636368</v>
      </c>
      <c r="L1349" t="s">
        <v>172</v>
      </c>
      <c r="M1349" t="s">
        <v>172</v>
      </c>
      <c r="N1349" t="s">
        <v>172</v>
      </c>
      <c r="O1349" s="2">
        <v>4018</v>
      </c>
      <c r="P1349" s="301">
        <v>2.7772209819114303E-2</v>
      </c>
      <c r="Q1349" s="14">
        <v>87.878787878787904</v>
      </c>
      <c r="R1349" s="2">
        <v>4533</v>
      </c>
      <c r="S1349" s="301">
        <v>3.0663392657832255E-2</v>
      </c>
      <c r="T1349" s="14">
        <v>89.090909999999994</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2029</v>
      </c>
      <c r="B1350" t="s">
        <v>172</v>
      </c>
      <c r="C1350" t="s">
        <v>172</v>
      </c>
      <c r="D1350" t="s">
        <v>172</v>
      </c>
      <c r="E1350" s="2">
        <v>369</v>
      </c>
      <c r="F1350" s="301">
        <v>5.8730840853745882E-3</v>
      </c>
      <c r="G1350" s="14">
        <v>86.6666666666666</v>
      </c>
      <c r="H1350" s="2">
        <v>350</v>
      </c>
      <c r="I1350" s="301">
        <v>5.4048211004215762E-3</v>
      </c>
      <c r="J1350" s="14">
        <v>82.424239999999998</v>
      </c>
      <c r="L1350" t="s">
        <v>172</v>
      </c>
      <c r="M1350" t="s">
        <v>172</v>
      </c>
      <c r="N1350" t="s">
        <v>172</v>
      </c>
      <c r="O1350" s="2">
        <v>1050</v>
      </c>
      <c r="P1350" s="301">
        <v>7.2575461199776052E-3</v>
      </c>
      <c r="Q1350" s="14">
        <v>120.60606060606</v>
      </c>
      <c r="R1350" s="2">
        <v>932</v>
      </c>
      <c r="S1350" s="301">
        <v>6.3044963505624668E-3</v>
      </c>
      <c r="T1350" s="14">
        <v>136.363632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2030</v>
      </c>
      <c r="B1351" t="s">
        <v>172</v>
      </c>
      <c r="C1351" t="s">
        <v>172</v>
      </c>
      <c r="D1351" t="s">
        <v>172</v>
      </c>
      <c r="E1351" s="2">
        <v>938</v>
      </c>
      <c r="F1351" s="301">
        <v>1.492941157745627E-2</v>
      </c>
      <c r="G1351" s="14">
        <v>123.636363636363</v>
      </c>
      <c r="H1351" s="2">
        <v>1066</v>
      </c>
      <c r="I1351" s="301">
        <v>1.6461540837283999E-2</v>
      </c>
      <c r="J1351" s="14">
        <v>139.393936</v>
      </c>
      <c r="L1351" t="s">
        <v>172</v>
      </c>
      <c r="M1351" t="s">
        <v>172</v>
      </c>
      <c r="N1351" t="s">
        <v>172</v>
      </c>
      <c r="O1351" s="2">
        <v>2968</v>
      </c>
      <c r="P1351" s="301">
        <v>2.0514663699136699E-2</v>
      </c>
      <c r="Q1351" s="14">
        <v>135.75757575757501</v>
      </c>
      <c r="R1351" s="2">
        <v>3601</v>
      </c>
      <c r="S1351" s="301">
        <v>2.4358896307269787E-2</v>
      </c>
      <c r="T1351" s="14">
        <v>163.636368</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2037</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172</v>
      </c>
      <c r="C1354" t="s">
        <v>172</v>
      </c>
      <c r="D1354" t="s">
        <v>172</v>
      </c>
      <c r="E1354" s="304" t="s">
        <v>1706</v>
      </c>
      <c r="F1354" s="304"/>
      <c r="G1354" s="304" t="s">
        <v>1707</v>
      </c>
      <c r="H1354" s="304" t="s">
        <v>1706</v>
      </c>
      <c r="I1354" s="304"/>
      <c r="J1354" s="304" t="s">
        <v>1707</v>
      </c>
      <c r="K1354" t="s">
        <v>172</v>
      </c>
      <c r="L1354" t="s">
        <v>172</v>
      </c>
      <c r="M1354" t="s">
        <v>172</v>
      </c>
      <c r="N1354" t="s">
        <v>172</v>
      </c>
      <c r="O1354" s="304" t="s">
        <v>1706</v>
      </c>
      <c r="P1354" s="304"/>
      <c r="Q1354" s="304" t="s">
        <v>1707</v>
      </c>
      <c r="R1354" s="304" t="s">
        <v>1706</v>
      </c>
      <c r="S1354" s="304"/>
      <c r="T1354" s="304" t="s">
        <v>1707</v>
      </c>
      <c r="U1354" t="s">
        <v>172</v>
      </c>
      <c r="V1354" t="s">
        <v>172</v>
      </c>
      <c r="W1354" t="s">
        <v>172</v>
      </c>
      <c r="X1354" t="s">
        <v>172</v>
      </c>
      <c r="Y1354" s="207" t="s">
        <v>1706</v>
      </c>
      <c r="Z1354" s="207"/>
      <c r="AA1354" s="207" t="s">
        <v>1707</v>
      </c>
      <c r="AB1354" s="207" t="s">
        <v>1706</v>
      </c>
      <c r="AC1354" s="207"/>
      <c r="AD1354" s="207" t="s">
        <v>1707</v>
      </c>
      <c r="AE1354" t="s">
        <v>172</v>
      </c>
    </row>
    <row r="1355" spans="1:31" x14ac:dyDescent="0.3">
      <c r="A1355" t="s">
        <v>174</v>
      </c>
      <c r="B1355" t="s">
        <v>172</v>
      </c>
      <c r="C1355" t="s">
        <v>172</v>
      </c>
      <c r="D1355" t="s">
        <v>172</v>
      </c>
      <c r="E1355" s="2">
        <v>62829</v>
      </c>
      <c r="F1355" t="s">
        <v>172</v>
      </c>
      <c r="G1355" s="14">
        <v>54.545454545454497</v>
      </c>
      <c r="H1355" s="2">
        <v>64757</v>
      </c>
      <c r="I1355" t="s">
        <v>172</v>
      </c>
      <c r="J1355" s="14">
        <v>118.181816</v>
      </c>
      <c r="L1355" t="s">
        <v>172</v>
      </c>
      <c r="M1355" t="s">
        <v>172</v>
      </c>
      <c r="N1355" t="s">
        <v>172</v>
      </c>
      <c r="O1355" s="2">
        <v>144677</v>
      </c>
      <c r="P1355" t="s">
        <v>172</v>
      </c>
      <c r="Q1355" s="14">
        <v>398.18181818181802</v>
      </c>
      <c r="R1355" s="2">
        <v>147831</v>
      </c>
      <c r="S1355" t="s">
        <v>172</v>
      </c>
      <c r="T1355" s="14">
        <v>335.75756799999999</v>
      </c>
      <c r="V1355" t="s">
        <v>172</v>
      </c>
      <c r="W1355" t="s">
        <v>172</v>
      </c>
      <c r="X1355" t="s">
        <v>172</v>
      </c>
      <c r="Y1355" s="2">
        <v>37912312</v>
      </c>
      <c r="Z1355" s="27" t="s">
        <v>172</v>
      </c>
      <c r="AA1355" s="14">
        <v>1469.09</v>
      </c>
      <c r="AB1355" s="2">
        <v>38838726</v>
      </c>
      <c r="AC1355" s="27" t="s">
        <v>172</v>
      </c>
      <c r="AD1355" s="14">
        <v>1783.64</v>
      </c>
    </row>
    <row r="1356" spans="1:31" x14ac:dyDescent="0.3">
      <c r="A1356" t="s">
        <v>2028</v>
      </c>
      <c r="B1356" t="s">
        <v>172</v>
      </c>
      <c r="C1356" t="s">
        <v>172</v>
      </c>
      <c r="D1356" t="s">
        <v>172</v>
      </c>
      <c r="E1356" s="2">
        <v>30927</v>
      </c>
      <c r="F1356" s="301">
        <v>0.49224084419615144</v>
      </c>
      <c r="G1356" s="14">
        <v>369.69696969696901</v>
      </c>
      <c r="H1356" s="2">
        <v>31521</v>
      </c>
      <c r="I1356" s="301">
        <v>0.48675818830396717</v>
      </c>
      <c r="J1356" s="14">
        <v>364.24243200000001</v>
      </c>
      <c r="L1356" t="s">
        <v>172</v>
      </c>
      <c r="M1356" t="s">
        <v>172</v>
      </c>
      <c r="N1356" t="s">
        <v>172</v>
      </c>
      <c r="O1356" s="2">
        <v>72257</v>
      </c>
      <c r="P1356" s="301">
        <v>0.49943667618211601</v>
      </c>
      <c r="Q1356" s="14">
        <v>256.969696969697</v>
      </c>
      <c r="R1356" s="2">
        <v>72113</v>
      </c>
      <c r="S1356" s="301">
        <v>0.48780702288423944</v>
      </c>
      <c r="T1356" s="14">
        <v>254.545456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3034</v>
      </c>
      <c r="F1357" s="301">
        <v>4.8289802479746617E-2</v>
      </c>
      <c r="G1357" s="14">
        <v>180</v>
      </c>
      <c r="H1357" s="2">
        <v>2870</v>
      </c>
      <c r="I1357" s="301">
        <v>4.4319533023456925E-2</v>
      </c>
      <c r="J1357" s="14">
        <v>210.909088</v>
      </c>
      <c r="L1357" t="s">
        <v>172</v>
      </c>
      <c r="M1357" t="s">
        <v>172</v>
      </c>
      <c r="N1357" t="s">
        <v>172</v>
      </c>
      <c r="O1357" s="2">
        <v>5856</v>
      </c>
      <c r="P1357" s="301">
        <v>4.0476371503417957E-2</v>
      </c>
      <c r="Q1357" s="14">
        <v>65.454545454545396</v>
      </c>
      <c r="R1357" s="2">
        <v>5847</v>
      </c>
      <c r="S1357" s="301">
        <v>3.9551920774397793E-2</v>
      </c>
      <c r="T1357" s="14">
        <v>50.9090919</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2038</v>
      </c>
      <c r="B1358" t="s">
        <v>172</v>
      </c>
      <c r="C1358" t="s">
        <v>172</v>
      </c>
      <c r="D1358" t="s">
        <v>172</v>
      </c>
      <c r="E1358" s="2">
        <v>12</v>
      </c>
      <c r="F1358" s="301">
        <v>1.9099460440242564E-4</v>
      </c>
      <c r="G1358" s="14">
        <v>10.909090909090899</v>
      </c>
      <c r="H1358" s="2">
        <v>82</v>
      </c>
      <c r="I1358" s="301">
        <v>1.2662723720987693E-3</v>
      </c>
      <c r="J1358" s="14">
        <v>79.393936199999999</v>
      </c>
      <c r="L1358" t="s">
        <v>172</v>
      </c>
      <c r="M1358" t="s">
        <v>172</v>
      </c>
      <c r="N1358" t="s">
        <v>172</v>
      </c>
      <c r="O1358" s="2">
        <v>12</v>
      </c>
      <c r="P1358" s="301">
        <v>8.2943384228315487E-5</v>
      </c>
      <c r="Q1358" s="14">
        <v>10.909090909090899</v>
      </c>
      <c r="R1358" s="2">
        <v>82</v>
      </c>
      <c r="S1358" s="301">
        <v>5.5468744715249168E-4</v>
      </c>
      <c r="T1358" s="14">
        <v>79.393936199999999</v>
      </c>
      <c r="V1358" t="s">
        <v>172</v>
      </c>
      <c r="W1358" t="s">
        <v>172</v>
      </c>
      <c r="X1358" t="s">
        <v>172</v>
      </c>
      <c r="Y1358" s="2">
        <v>5831</v>
      </c>
      <c r="Z1358" s="27">
        <v>0</v>
      </c>
      <c r="AA1358" s="14">
        <v>380</v>
      </c>
      <c r="AB1358" s="2">
        <v>4921</v>
      </c>
      <c r="AC1358" s="27">
        <v>0</v>
      </c>
      <c r="AD1358" s="14">
        <v>456.97</v>
      </c>
    </row>
    <row r="1359" spans="1:31" x14ac:dyDescent="0.3">
      <c r="A1359" t="s">
        <v>2039</v>
      </c>
      <c r="B1359" t="s">
        <v>172</v>
      </c>
      <c r="C1359" t="s">
        <v>172</v>
      </c>
      <c r="D1359" t="s">
        <v>172</v>
      </c>
      <c r="E1359" s="2">
        <v>3022</v>
      </c>
      <c r="F1359" s="301">
        <v>4.8098807875344186E-2</v>
      </c>
      <c r="G1359" s="14">
        <v>179.39393939393901</v>
      </c>
      <c r="H1359" s="2">
        <v>2788</v>
      </c>
      <c r="I1359" s="301">
        <v>4.3053260651358151E-2</v>
      </c>
      <c r="J1359" s="14">
        <v>224.84848</v>
      </c>
      <c r="L1359" t="s">
        <v>172</v>
      </c>
      <c r="M1359" t="s">
        <v>172</v>
      </c>
      <c r="N1359" t="s">
        <v>172</v>
      </c>
      <c r="O1359" s="2">
        <v>5844</v>
      </c>
      <c r="P1359" s="301">
        <v>4.0393428119189646E-2</v>
      </c>
      <c r="Q1359" s="14">
        <v>67.272727272727195</v>
      </c>
      <c r="R1359" s="2">
        <v>5765</v>
      </c>
      <c r="S1359" s="301">
        <v>3.89972333272453E-2</v>
      </c>
      <c r="T1359" s="14">
        <v>101.21212</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2031</v>
      </c>
      <c r="B1360" t="s">
        <v>172</v>
      </c>
      <c r="C1360" t="s">
        <v>172</v>
      </c>
      <c r="D1360" t="s">
        <v>172</v>
      </c>
      <c r="E1360" s="2">
        <v>7590</v>
      </c>
      <c r="F1360" s="301">
        <v>0.12080408728453421</v>
      </c>
      <c r="G1360" s="14">
        <v>269.69696969696901</v>
      </c>
      <c r="H1360" s="2">
        <v>7938</v>
      </c>
      <c r="I1360" s="301">
        <v>0.12258134255756134</v>
      </c>
      <c r="J1360" s="14">
        <v>257.57574499999998</v>
      </c>
      <c r="L1360" t="s">
        <v>172</v>
      </c>
      <c r="M1360" t="s">
        <v>172</v>
      </c>
      <c r="N1360" t="s">
        <v>172</v>
      </c>
      <c r="O1360" s="2">
        <v>15721</v>
      </c>
      <c r="P1360" s="301">
        <v>0.10866274528777899</v>
      </c>
      <c r="Q1360" s="14">
        <v>135.15151515151501</v>
      </c>
      <c r="R1360" s="2">
        <v>15821</v>
      </c>
      <c r="S1360" s="301">
        <v>0.10702085489511672</v>
      </c>
      <c r="T1360" s="14">
        <v>87.878784199999998</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2038</v>
      </c>
      <c r="B1361" t="s">
        <v>172</v>
      </c>
      <c r="C1361" t="s">
        <v>172</v>
      </c>
      <c r="D1361" t="s">
        <v>172</v>
      </c>
      <c r="E1361" s="2">
        <v>124</v>
      </c>
      <c r="F1361" s="301">
        <v>1.9736109121583981E-3</v>
      </c>
      <c r="G1361" s="14">
        <v>53.939393939393902</v>
      </c>
      <c r="H1361" s="2">
        <v>214</v>
      </c>
      <c r="I1361" s="301">
        <v>3.3046620442577636E-3</v>
      </c>
      <c r="J1361" s="14">
        <v>82.424239999999998</v>
      </c>
      <c r="L1361" t="s">
        <v>172</v>
      </c>
      <c r="M1361" t="s">
        <v>172</v>
      </c>
      <c r="N1361" t="s">
        <v>172</v>
      </c>
      <c r="O1361" s="2">
        <v>170</v>
      </c>
      <c r="P1361" s="301">
        <v>1.1750312765678027E-3</v>
      </c>
      <c r="Q1361" s="14">
        <v>60.606060606060602</v>
      </c>
      <c r="R1361" s="2">
        <v>229</v>
      </c>
      <c r="S1361" s="301">
        <v>1.5490661633892756E-3</v>
      </c>
      <c r="T1361" s="14">
        <v>83.636359999999996</v>
      </c>
      <c r="V1361" t="s">
        <v>172</v>
      </c>
      <c r="W1361" t="s">
        <v>172</v>
      </c>
      <c r="X1361" t="s">
        <v>172</v>
      </c>
      <c r="Y1361" s="2">
        <v>26272</v>
      </c>
      <c r="Z1361" s="27">
        <v>1E-3</v>
      </c>
      <c r="AA1361" s="14">
        <v>687.27</v>
      </c>
      <c r="AB1361" s="2">
        <v>26568</v>
      </c>
      <c r="AC1361" s="27">
        <v>1E-3</v>
      </c>
      <c r="AD1361" s="14">
        <v>805.45</v>
      </c>
    </row>
    <row r="1362" spans="1:30" x14ac:dyDescent="0.3">
      <c r="A1362" t="s">
        <v>2039</v>
      </c>
      <c r="B1362" t="s">
        <v>172</v>
      </c>
      <c r="C1362" t="s">
        <v>172</v>
      </c>
      <c r="D1362" t="s">
        <v>172</v>
      </c>
      <c r="E1362" s="2">
        <v>7466</v>
      </c>
      <c r="F1362" s="301">
        <v>0.11883047637237582</v>
      </c>
      <c r="G1362" s="14">
        <v>269.09090909090901</v>
      </c>
      <c r="H1362" s="2">
        <v>7724</v>
      </c>
      <c r="I1362" s="301">
        <v>0.11927668051330358</v>
      </c>
      <c r="J1362" s="14">
        <v>260.60604899999998</v>
      </c>
      <c r="L1362" t="s">
        <v>172</v>
      </c>
      <c r="M1362" t="s">
        <v>172</v>
      </c>
      <c r="N1362" t="s">
        <v>172</v>
      </c>
      <c r="O1362" s="2">
        <v>15551</v>
      </c>
      <c r="P1362" s="301">
        <v>0.10748771401121118</v>
      </c>
      <c r="Q1362" s="14">
        <v>140</v>
      </c>
      <c r="R1362" s="2">
        <v>15592</v>
      </c>
      <c r="S1362" s="301">
        <v>0.10547178873172744</v>
      </c>
      <c r="T1362" s="14">
        <v>118.181816</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2032</v>
      </c>
      <c r="B1363" t="s">
        <v>172</v>
      </c>
      <c r="C1363" t="s">
        <v>172</v>
      </c>
      <c r="D1363" t="s">
        <v>172</v>
      </c>
      <c r="E1363" s="2">
        <v>8632</v>
      </c>
      <c r="F1363" s="301">
        <v>0.13738878543347818</v>
      </c>
      <c r="G1363" s="14">
        <v>309.09090909090901</v>
      </c>
      <c r="H1363" s="2">
        <v>8351</v>
      </c>
      <c r="I1363" s="301">
        <v>0.1289590314560588</v>
      </c>
      <c r="J1363" s="14">
        <v>294.54544099999998</v>
      </c>
      <c r="L1363" t="s">
        <v>172</v>
      </c>
      <c r="M1363" t="s">
        <v>172</v>
      </c>
      <c r="N1363" t="s">
        <v>172</v>
      </c>
      <c r="O1363" s="2">
        <v>17134</v>
      </c>
      <c r="P1363" s="301">
        <v>0.11842932878066313</v>
      </c>
      <c r="Q1363" s="14">
        <v>133.939393939393</v>
      </c>
      <c r="R1363" s="2">
        <v>16548</v>
      </c>
      <c r="S1363" s="301">
        <v>0.11193863262779796</v>
      </c>
      <c r="T1363" s="14">
        <v>134.545456</v>
      </c>
      <c r="V1363" t="s">
        <v>172</v>
      </c>
      <c r="W1363" t="s">
        <v>172</v>
      </c>
      <c r="X1363" t="s">
        <v>172</v>
      </c>
      <c r="Y1363" s="2">
        <v>4741790</v>
      </c>
      <c r="Z1363" s="27">
        <v>0.125</v>
      </c>
      <c r="AA1363" s="14">
        <v>1612.12</v>
      </c>
      <c r="AB1363" s="2">
        <v>4816407</v>
      </c>
      <c r="AC1363" s="27">
        <v>0.124</v>
      </c>
      <c r="AD1363" s="14">
        <v>1673.33</v>
      </c>
    </row>
    <row r="1364" spans="1:30" x14ac:dyDescent="0.3">
      <c r="A1364" t="s">
        <v>2038</v>
      </c>
      <c r="B1364" t="s">
        <v>172</v>
      </c>
      <c r="C1364" t="s">
        <v>172</v>
      </c>
      <c r="D1364" t="s">
        <v>172</v>
      </c>
      <c r="E1364" s="2">
        <v>159</v>
      </c>
      <c r="F1364" s="301">
        <v>2.5306785083321396E-3</v>
      </c>
      <c r="G1364" s="14">
        <v>80</v>
      </c>
      <c r="H1364" s="2">
        <v>349</v>
      </c>
      <c r="I1364" s="301">
        <v>5.3893787544203719E-3</v>
      </c>
      <c r="J1364" s="14">
        <v>161.21212800000001</v>
      </c>
      <c r="L1364" t="s">
        <v>172</v>
      </c>
      <c r="M1364" t="s">
        <v>172</v>
      </c>
      <c r="N1364" t="s">
        <v>172</v>
      </c>
      <c r="O1364" s="2">
        <v>287</v>
      </c>
      <c r="P1364" s="301">
        <v>1.9837292727938787E-3</v>
      </c>
      <c r="Q1364" s="14">
        <v>92.727272727272705</v>
      </c>
      <c r="R1364" s="2">
        <v>444</v>
      </c>
      <c r="S1364" s="301">
        <v>3.0034295918988574E-3</v>
      </c>
      <c r="T1364" s="14">
        <v>169.090912</v>
      </c>
      <c r="V1364" t="s">
        <v>172</v>
      </c>
      <c r="W1364" t="s">
        <v>172</v>
      </c>
      <c r="X1364" t="s">
        <v>172</v>
      </c>
      <c r="Y1364" s="2">
        <v>42446</v>
      </c>
      <c r="Z1364" s="27">
        <v>1E-3</v>
      </c>
      <c r="AA1364" s="14">
        <v>1012.73</v>
      </c>
      <c r="AB1364" s="2">
        <v>47059</v>
      </c>
      <c r="AC1364" s="27">
        <v>1E-3</v>
      </c>
      <c r="AD1364" s="14">
        <v>1178.18</v>
      </c>
    </row>
    <row r="1365" spans="1:30" x14ac:dyDescent="0.3">
      <c r="A1365" t="s">
        <v>2039</v>
      </c>
      <c r="B1365" t="s">
        <v>172</v>
      </c>
      <c r="C1365" t="s">
        <v>172</v>
      </c>
      <c r="D1365" t="s">
        <v>172</v>
      </c>
      <c r="E1365" s="2">
        <v>8473</v>
      </c>
      <c r="F1365" s="301">
        <v>0.13485810692514602</v>
      </c>
      <c r="G1365" s="14">
        <v>290.90909090909003</v>
      </c>
      <c r="H1365" s="2">
        <v>8002</v>
      </c>
      <c r="I1365" s="301">
        <v>0.12356965270163843</v>
      </c>
      <c r="J1365" s="14">
        <v>347.27273600000001</v>
      </c>
      <c r="L1365" t="s">
        <v>172</v>
      </c>
      <c r="M1365" t="s">
        <v>172</v>
      </c>
      <c r="N1365" t="s">
        <v>172</v>
      </c>
      <c r="O1365" s="2">
        <v>16847</v>
      </c>
      <c r="P1365" s="301">
        <v>0.11644559950786926</v>
      </c>
      <c r="Q1365" s="14">
        <v>166.666666666666</v>
      </c>
      <c r="R1365" s="2">
        <v>16104</v>
      </c>
      <c r="S1365" s="301">
        <v>0.1089352030358991</v>
      </c>
      <c r="T1365" s="14">
        <v>214.545456</v>
      </c>
      <c r="V1365" t="s">
        <v>172</v>
      </c>
      <c r="W1365" t="s">
        <v>172</v>
      </c>
      <c r="X1365" t="s">
        <v>172</v>
      </c>
      <c r="Y1365" s="2">
        <v>4699344</v>
      </c>
      <c r="Z1365" s="27">
        <v>0.124</v>
      </c>
      <c r="AA1365" s="14">
        <v>1900.61</v>
      </c>
      <c r="AB1365" s="2">
        <v>4769348</v>
      </c>
      <c r="AC1365" s="27">
        <v>0.123</v>
      </c>
      <c r="AD1365" s="14">
        <v>2318.79</v>
      </c>
    </row>
    <row r="1366" spans="1:30" x14ac:dyDescent="0.3">
      <c r="A1366" t="s">
        <v>2033</v>
      </c>
      <c r="B1366" t="s">
        <v>172</v>
      </c>
      <c r="C1366" t="s">
        <v>172</v>
      </c>
      <c r="D1366" t="s">
        <v>172</v>
      </c>
      <c r="E1366" s="2">
        <v>9561</v>
      </c>
      <c r="F1366" s="301">
        <v>0.15217495105763262</v>
      </c>
      <c r="G1366" s="14">
        <v>252.12121212121201</v>
      </c>
      <c r="H1366" s="2">
        <v>9792</v>
      </c>
      <c r="I1366" s="301">
        <v>0.15121145204379449</v>
      </c>
      <c r="J1366" s="14">
        <v>298.18182400000001</v>
      </c>
      <c r="L1366" t="s">
        <v>172</v>
      </c>
      <c r="M1366" t="s">
        <v>172</v>
      </c>
      <c r="N1366" t="s">
        <v>172</v>
      </c>
      <c r="O1366" s="2">
        <v>24669</v>
      </c>
      <c r="P1366" s="301">
        <v>0.17051086212735955</v>
      </c>
      <c r="Q1366" s="14">
        <v>168.48484848484799</v>
      </c>
      <c r="R1366" s="2">
        <v>23784</v>
      </c>
      <c r="S1366" s="301">
        <v>0.16088641759847394</v>
      </c>
      <c r="T1366" s="14">
        <v>184.24243200000001</v>
      </c>
      <c r="V1366" t="s">
        <v>172</v>
      </c>
      <c r="W1366" t="s">
        <v>172</v>
      </c>
      <c r="X1366" t="s">
        <v>172</v>
      </c>
      <c r="Y1366" s="2">
        <v>7195146</v>
      </c>
      <c r="Z1366" s="27">
        <v>0.19</v>
      </c>
      <c r="AA1366" s="14">
        <v>1241.21</v>
      </c>
      <c r="AB1366" s="2">
        <v>7309447</v>
      </c>
      <c r="AC1366" s="27">
        <v>0.188</v>
      </c>
      <c r="AD1366" s="14">
        <v>1505.45</v>
      </c>
    </row>
    <row r="1367" spans="1:30" x14ac:dyDescent="0.3">
      <c r="A1367" t="s">
        <v>2038</v>
      </c>
      <c r="B1367" t="s">
        <v>172</v>
      </c>
      <c r="C1367" t="s">
        <v>172</v>
      </c>
      <c r="D1367" t="s">
        <v>172</v>
      </c>
      <c r="E1367" s="2">
        <v>611</v>
      </c>
      <c r="F1367" s="301">
        <v>9.7248086074901725E-3</v>
      </c>
      <c r="G1367" s="14">
        <v>123.636363636363</v>
      </c>
      <c r="H1367" s="2">
        <v>350</v>
      </c>
      <c r="I1367" s="301">
        <v>5.4048211004215762E-3</v>
      </c>
      <c r="J1367" s="14">
        <v>110.303032</v>
      </c>
      <c r="L1367" t="s">
        <v>172</v>
      </c>
      <c r="M1367" t="s">
        <v>172</v>
      </c>
      <c r="N1367" t="s">
        <v>172</v>
      </c>
      <c r="O1367" s="2">
        <v>924</v>
      </c>
      <c r="P1367" s="301">
        <v>6.3866405855802924E-3</v>
      </c>
      <c r="Q1367" s="14">
        <v>157.575757575757</v>
      </c>
      <c r="R1367" s="2">
        <v>613</v>
      </c>
      <c r="S1367" s="301">
        <v>4.146626891518017E-3</v>
      </c>
      <c r="T1367" s="14">
        <v>118.181816</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2039</v>
      </c>
      <c r="B1368" t="s">
        <v>172</v>
      </c>
      <c r="C1368" t="s">
        <v>172</v>
      </c>
      <c r="D1368" t="s">
        <v>172</v>
      </c>
      <c r="E1368" s="2">
        <v>8950</v>
      </c>
      <c r="F1368" s="301">
        <v>0.14245014245014245</v>
      </c>
      <c r="G1368" s="14">
        <v>267.27272727272702</v>
      </c>
      <c r="H1368" s="2">
        <v>9442</v>
      </c>
      <c r="I1368" s="301">
        <v>0.14580663094337293</v>
      </c>
      <c r="J1368" s="14">
        <v>294.54544099999998</v>
      </c>
      <c r="L1368" t="s">
        <v>172</v>
      </c>
      <c r="M1368" t="s">
        <v>172</v>
      </c>
      <c r="N1368" t="s">
        <v>172</v>
      </c>
      <c r="O1368" s="2">
        <v>23745</v>
      </c>
      <c r="P1368" s="301">
        <v>0.16412422154177927</v>
      </c>
      <c r="Q1368" s="14">
        <v>217.575757575757</v>
      </c>
      <c r="R1368" s="2">
        <v>23171</v>
      </c>
      <c r="S1368" s="301">
        <v>0.15673979070695593</v>
      </c>
      <c r="T1368" s="14">
        <v>234.545456</v>
      </c>
      <c r="V1368" t="s">
        <v>172</v>
      </c>
      <c r="W1368" t="s">
        <v>172</v>
      </c>
      <c r="X1368" t="s">
        <v>172</v>
      </c>
      <c r="Y1368" s="2">
        <v>7055847</v>
      </c>
      <c r="Z1368" s="27">
        <v>0.186</v>
      </c>
      <c r="AA1368" s="14">
        <v>2011.52</v>
      </c>
      <c r="AB1368" s="2">
        <v>7177672</v>
      </c>
      <c r="AC1368" s="27">
        <v>0.185</v>
      </c>
      <c r="AD1368" s="14">
        <v>2534.5500000000002</v>
      </c>
    </row>
    <row r="1369" spans="1:30" x14ac:dyDescent="0.3">
      <c r="A1369" t="s">
        <v>2034</v>
      </c>
      <c r="B1369" t="s">
        <v>172</v>
      </c>
      <c r="C1369" t="s">
        <v>172</v>
      </c>
      <c r="D1369" t="s">
        <v>172</v>
      </c>
      <c r="E1369" s="2">
        <v>1266</v>
      </c>
      <c r="F1369" s="301">
        <v>2.0149930764455905E-2</v>
      </c>
      <c r="G1369" s="14">
        <v>115.757575757575</v>
      </c>
      <c r="H1369" s="2">
        <v>1486</v>
      </c>
      <c r="I1369" s="301">
        <v>2.2947326157789893E-2</v>
      </c>
      <c r="J1369" s="14">
        <v>176.363632</v>
      </c>
      <c r="L1369" t="s">
        <v>172</v>
      </c>
      <c r="M1369" t="s">
        <v>172</v>
      </c>
      <c r="N1369" t="s">
        <v>172</v>
      </c>
      <c r="O1369" s="2">
        <v>5370</v>
      </c>
      <c r="P1369" s="301">
        <v>3.7117164442171183E-2</v>
      </c>
      <c r="Q1369" s="14">
        <v>72.121212121212096</v>
      </c>
      <c r="R1369" s="2">
        <v>6251</v>
      </c>
      <c r="S1369" s="301">
        <v>4.2284771123783239E-2</v>
      </c>
      <c r="T1369" s="14">
        <v>73.333335899999994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2038</v>
      </c>
      <c r="B1370" t="s">
        <v>172</v>
      </c>
      <c r="C1370" t="s">
        <v>172</v>
      </c>
      <c r="D1370" t="s">
        <v>172</v>
      </c>
      <c r="E1370" s="2">
        <v>80</v>
      </c>
      <c r="F1370" s="301">
        <v>1.2732973626828376E-3</v>
      </c>
      <c r="G1370" s="14">
        <v>41.212121212121197</v>
      </c>
      <c r="H1370" s="2">
        <v>47</v>
      </c>
      <c r="I1370" s="301">
        <v>7.2579026205661168E-4</v>
      </c>
      <c r="J1370" s="14">
        <v>29.090910000000001</v>
      </c>
      <c r="L1370" t="s">
        <v>172</v>
      </c>
      <c r="M1370" t="s">
        <v>172</v>
      </c>
      <c r="N1370" t="s">
        <v>172</v>
      </c>
      <c r="O1370" s="2">
        <v>347</v>
      </c>
      <c r="P1370" s="301">
        <v>2.3984461939354561E-3</v>
      </c>
      <c r="Q1370" s="14">
        <v>69.090909090909093</v>
      </c>
      <c r="R1370" s="2">
        <v>274</v>
      </c>
      <c r="S1370" s="301">
        <v>1.8534678112168625E-3</v>
      </c>
      <c r="T1370" s="14">
        <v>67.272729999999996</v>
      </c>
      <c r="V1370" t="s">
        <v>172</v>
      </c>
      <c r="W1370" t="s">
        <v>172</v>
      </c>
      <c r="X1370" t="s">
        <v>172</v>
      </c>
      <c r="Y1370" s="2">
        <v>48856</v>
      </c>
      <c r="Z1370" s="27">
        <v>1E-3</v>
      </c>
      <c r="AA1370" s="14">
        <v>913.33</v>
      </c>
      <c r="AB1370" s="2">
        <v>59799</v>
      </c>
      <c r="AC1370" s="27">
        <v>2E-3</v>
      </c>
      <c r="AD1370" s="14">
        <v>1095.76</v>
      </c>
    </row>
    <row r="1371" spans="1:30" x14ac:dyDescent="0.3">
      <c r="A1371" t="s">
        <v>2039</v>
      </c>
      <c r="B1371" t="s">
        <v>172</v>
      </c>
      <c r="C1371" t="s">
        <v>172</v>
      </c>
      <c r="D1371" t="s">
        <v>172</v>
      </c>
      <c r="E1371" s="2">
        <v>1186</v>
      </c>
      <c r="F1371" s="301">
        <v>1.8876633401773067E-2</v>
      </c>
      <c r="G1371" s="14">
        <v>101.818181818181</v>
      </c>
      <c r="H1371" s="2">
        <v>1439</v>
      </c>
      <c r="I1371" s="301">
        <v>2.222153589573328E-2</v>
      </c>
      <c r="J1371" s="14">
        <v>167.878784</v>
      </c>
      <c r="L1371" t="s">
        <v>172</v>
      </c>
      <c r="M1371" t="s">
        <v>172</v>
      </c>
      <c r="N1371" t="s">
        <v>172</v>
      </c>
      <c r="O1371" s="2">
        <v>5023</v>
      </c>
      <c r="P1371" s="301">
        <v>3.4718718248235726E-2</v>
      </c>
      <c r="Q1371" s="14">
        <v>89.696969696969703</v>
      </c>
      <c r="R1371" s="2">
        <v>5977</v>
      </c>
      <c r="S1371" s="301">
        <v>4.0431303312566377E-2</v>
      </c>
      <c r="T1371" s="14">
        <v>103.63636</v>
      </c>
      <c r="V1371" t="s">
        <v>172</v>
      </c>
      <c r="W1371" t="s">
        <v>172</v>
      </c>
      <c r="X1371" t="s">
        <v>172</v>
      </c>
      <c r="Y1371" s="2">
        <v>1187124</v>
      </c>
      <c r="Z1371" s="27">
        <v>3.1E-2</v>
      </c>
      <c r="AA1371" s="14">
        <v>1056.97</v>
      </c>
      <c r="AB1371" s="2">
        <v>1443604</v>
      </c>
      <c r="AC1371" s="27">
        <v>3.6999999999999998E-2</v>
      </c>
      <c r="AD1371" s="14">
        <v>1324.24</v>
      </c>
    </row>
    <row r="1372" spans="1:30" x14ac:dyDescent="0.3">
      <c r="A1372" t="s">
        <v>2035</v>
      </c>
      <c r="B1372" t="s">
        <v>172</v>
      </c>
      <c r="C1372" t="s">
        <v>172</v>
      </c>
      <c r="D1372" t="s">
        <v>172</v>
      </c>
      <c r="E1372" s="2">
        <v>844</v>
      </c>
      <c r="F1372" s="301">
        <v>1.3433287176303935E-2</v>
      </c>
      <c r="G1372" s="14">
        <v>106.06060606060601</v>
      </c>
      <c r="H1372" s="2">
        <v>1084</v>
      </c>
      <c r="I1372" s="301">
        <v>1.673950306530568E-2</v>
      </c>
      <c r="J1372" s="14">
        <v>144.24243200000001</v>
      </c>
      <c r="L1372" t="s">
        <v>172</v>
      </c>
      <c r="M1372" t="s">
        <v>172</v>
      </c>
      <c r="N1372" t="s">
        <v>172</v>
      </c>
      <c r="O1372" s="2">
        <v>3507</v>
      </c>
      <c r="P1372" s="301">
        <v>2.4240204040725202E-2</v>
      </c>
      <c r="Q1372" s="14">
        <v>73.3333333333333</v>
      </c>
      <c r="R1372" s="2">
        <v>3862</v>
      </c>
      <c r="S1372" s="301">
        <v>2.612442586466979E-2</v>
      </c>
      <c r="T1372" s="14">
        <v>46.060607900000001</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2038</v>
      </c>
      <c r="B1373" t="s">
        <v>172</v>
      </c>
      <c r="C1373" t="s">
        <v>172</v>
      </c>
      <c r="D1373" t="s">
        <v>172</v>
      </c>
      <c r="E1373" s="2">
        <v>163</v>
      </c>
      <c r="F1373" s="301">
        <v>2.5943433764662816E-3</v>
      </c>
      <c r="G1373" s="14">
        <v>50.303030303030297</v>
      </c>
      <c r="H1373" s="2">
        <v>294</v>
      </c>
      <c r="I1373" s="301">
        <v>4.5400497243541236E-3</v>
      </c>
      <c r="J1373" s="14">
        <v>100.606064</v>
      </c>
      <c r="L1373" t="s">
        <v>172</v>
      </c>
      <c r="M1373" t="s">
        <v>172</v>
      </c>
      <c r="N1373" t="s">
        <v>172</v>
      </c>
      <c r="O1373" s="2">
        <v>408</v>
      </c>
      <c r="P1373" s="301">
        <v>2.8200750637627264E-3</v>
      </c>
      <c r="Q1373" s="14">
        <v>89.696969696969703</v>
      </c>
      <c r="R1373" s="2">
        <v>566</v>
      </c>
      <c r="S1373" s="301">
        <v>3.8286962815647597E-3</v>
      </c>
      <c r="T1373" s="14">
        <v>127.272728</v>
      </c>
      <c r="V1373" t="s">
        <v>172</v>
      </c>
      <c r="W1373" t="s">
        <v>172</v>
      </c>
      <c r="X1373" t="s">
        <v>172</v>
      </c>
      <c r="Y1373" s="2">
        <v>77212</v>
      </c>
      <c r="Z1373" s="27">
        <v>2E-3</v>
      </c>
      <c r="AA1373" s="14">
        <v>1093.94</v>
      </c>
      <c r="AB1373" s="2">
        <v>81660</v>
      </c>
      <c r="AC1373" s="27">
        <v>2E-3</v>
      </c>
      <c r="AD1373" s="14">
        <v>1179.3900000000001</v>
      </c>
    </row>
    <row r="1374" spans="1:30" x14ac:dyDescent="0.3">
      <c r="A1374" t="s">
        <v>2039</v>
      </c>
      <c r="B1374" t="s">
        <v>172</v>
      </c>
      <c r="C1374" t="s">
        <v>172</v>
      </c>
      <c r="D1374" t="s">
        <v>172</v>
      </c>
      <c r="E1374" s="2">
        <v>681</v>
      </c>
      <c r="F1374" s="301">
        <v>1.0838943799837655E-2</v>
      </c>
      <c r="G1374" s="14">
        <v>101.212121212121</v>
      </c>
      <c r="H1374" s="2">
        <v>790</v>
      </c>
      <c r="I1374" s="301">
        <v>1.2199453340951558E-2</v>
      </c>
      <c r="J1374" s="14">
        <v>103.030304</v>
      </c>
      <c r="L1374" t="s">
        <v>172</v>
      </c>
      <c r="M1374" t="s">
        <v>172</v>
      </c>
      <c r="N1374" t="s">
        <v>172</v>
      </c>
      <c r="O1374" s="2">
        <v>3099</v>
      </c>
      <c r="P1374" s="301">
        <v>2.1420128976962476E-2</v>
      </c>
      <c r="Q1374" s="14">
        <v>113.939393939393</v>
      </c>
      <c r="R1374" s="2">
        <v>3296</v>
      </c>
      <c r="S1374" s="301">
        <v>2.2295729583105033E-2</v>
      </c>
      <c r="T1374" s="14">
        <v>142.42424</v>
      </c>
      <c r="V1374" t="s">
        <v>172</v>
      </c>
      <c r="W1374" t="s">
        <v>172</v>
      </c>
      <c r="X1374" t="s">
        <v>172</v>
      </c>
      <c r="Y1374" s="2">
        <v>763220</v>
      </c>
      <c r="Z1374" s="27">
        <v>0.02</v>
      </c>
      <c r="AA1374" s="14">
        <v>1213.94</v>
      </c>
      <c r="AB1374" s="2">
        <v>886418</v>
      </c>
      <c r="AC1374" s="27">
        <v>2.3E-2</v>
      </c>
      <c r="AD1374" s="14">
        <v>1312.73</v>
      </c>
    </row>
    <row r="1375" spans="1:30" x14ac:dyDescent="0.3">
      <c r="A1375" t="s">
        <v>2036</v>
      </c>
      <c r="B1375" t="s">
        <v>172</v>
      </c>
      <c r="C1375" t="s">
        <v>172</v>
      </c>
      <c r="D1375" t="s">
        <v>172</v>
      </c>
      <c r="E1375" s="2">
        <v>31902</v>
      </c>
      <c r="F1375" s="301">
        <v>0.50775915580384856</v>
      </c>
      <c r="G1375" s="14">
        <v>374.54545454545399</v>
      </c>
      <c r="H1375" s="2">
        <v>33236</v>
      </c>
      <c r="I1375" s="301">
        <v>0.51324181169603289</v>
      </c>
      <c r="J1375" s="14">
        <v>344.24243200000001</v>
      </c>
      <c r="L1375" t="s">
        <v>172</v>
      </c>
      <c r="M1375" t="s">
        <v>172</v>
      </c>
      <c r="N1375" t="s">
        <v>172</v>
      </c>
      <c r="O1375" s="2">
        <v>72420</v>
      </c>
      <c r="P1375" s="301">
        <v>0.50056332381788393</v>
      </c>
      <c r="Q1375" s="14">
        <v>426.06060606060601</v>
      </c>
      <c r="R1375" s="2">
        <v>75718</v>
      </c>
      <c r="S1375" s="301">
        <v>0.51219297711576062</v>
      </c>
      <c r="T1375" s="14">
        <v>296.96969999999999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3277</v>
      </c>
      <c r="F1376" s="301">
        <v>5.2157443218895733E-2</v>
      </c>
      <c r="G1376" s="14">
        <v>200.60606060606</v>
      </c>
      <c r="H1376" s="2">
        <v>3037</v>
      </c>
      <c r="I1376" s="301">
        <v>4.6898404805658073E-2</v>
      </c>
      <c r="J1376" s="14">
        <v>198.78787199999999</v>
      </c>
      <c r="L1376" t="s">
        <v>172</v>
      </c>
      <c r="M1376" t="s">
        <v>172</v>
      </c>
      <c r="N1376" t="s">
        <v>172</v>
      </c>
      <c r="O1376" s="2">
        <v>5879</v>
      </c>
      <c r="P1376" s="301">
        <v>4.0635346323188895E-2</v>
      </c>
      <c r="Q1376" s="14">
        <v>70.303030303030297</v>
      </c>
      <c r="R1376" s="2">
        <v>5537</v>
      </c>
      <c r="S1376" s="301">
        <v>3.7454931644918858E-2</v>
      </c>
      <c r="T1376" s="14">
        <v>70.909090000000006</v>
      </c>
      <c r="V1376" t="s">
        <v>172</v>
      </c>
      <c r="W1376" t="s">
        <v>172</v>
      </c>
      <c r="X1376" t="s">
        <v>172</v>
      </c>
      <c r="Y1376" s="2">
        <v>1227959</v>
      </c>
      <c r="Z1376" s="27">
        <v>3.2000000000000001E-2</v>
      </c>
      <c r="AA1376" s="14">
        <v>301.82</v>
      </c>
      <c r="AB1376" s="2">
        <v>1175933</v>
      </c>
      <c r="AC1376" s="27">
        <v>0.03</v>
      </c>
      <c r="AD1376" s="14">
        <v>451.52</v>
      </c>
    </row>
    <row r="1377" spans="1:30" x14ac:dyDescent="0.3">
      <c r="A1377" t="s">
        <v>2038</v>
      </c>
      <c r="B1377" t="s">
        <v>172</v>
      </c>
      <c r="C1377" t="s">
        <v>172</v>
      </c>
      <c r="D1377" t="s">
        <v>172</v>
      </c>
      <c r="E1377" s="2">
        <v>0</v>
      </c>
      <c r="F1377" s="301">
        <v>0</v>
      </c>
      <c r="G1377" s="14">
        <v>16.969696969696901</v>
      </c>
      <c r="H1377" s="2">
        <v>0</v>
      </c>
      <c r="I1377" s="301">
        <v>0</v>
      </c>
      <c r="J1377" s="14">
        <v>18.787877999999999</v>
      </c>
      <c r="L1377" t="s">
        <v>172</v>
      </c>
      <c r="M1377" t="s">
        <v>172</v>
      </c>
      <c r="N1377" t="s">
        <v>172</v>
      </c>
      <c r="O1377" s="2">
        <v>0</v>
      </c>
      <c r="P1377" s="301">
        <v>0</v>
      </c>
      <c r="Q1377" s="14">
        <v>16.969696969696901</v>
      </c>
      <c r="R1377" s="2">
        <v>16</v>
      </c>
      <c r="S1377" s="301">
        <v>1.0823169700536423E-4</v>
      </c>
      <c r="T1377" s="14">
        <v>15.151515</v>
      </c>
      <c r="V1377" t="s">
        <v>172</v>
      </c>
      <c r="W1377" t="s">
        <v>172</v>
      </c>
      <c r="X1377" t="s">
        <v>172</v>
      </c>
      <c r="Y1377" s="2">
        <v>4646</v>
      </c>
      <c r="Z1377" s="27">
        <v>0</v>
      </c>
      <c r="AA1377" s="14">
        <v>343.64</v>
      </c>
      <c r="AB1377" s="2">
        <v>4564</v>
      </c>
      <c r="AC1377" s="27">
        <v>0</v>
      </c>
      <c r="AD1377" s="14">
        <v>341.82</v>
      </c>
    </row>
    <row r="1378" spans="1:30" x14ac:dyDescent="0.3">
      <c r="A1378" t="s">
        <v>2039</v>
      </c>
      <c r="B1378" t="s">
        <v>172</v>
      </c>
      <c r="C1378" t="s">
        <v>172</v>
      </c>
      <c r="D1378" t="s">
        <v>172</v>
      </c>
      <c r="E1378" s="2">
        <v>3277</v>
      </c>
      <c r="F1378" s="301">
        <v>5.2157443218895733E-2</v>
      </c>
      <c r="G1378" s="14">
        <v>200.60606060606</v>
      </c>
      <c r="H1378" s="2">
        <v>3037</v>
      </c>
      <c r="I1378" s="301">
        <v>4.6898404805658073E-2</v>
      </c>
      <c r="J1378" s="14">
        <v>198.78787199999999</v>
      </c>
      <c r="L1378" t="s">
        <v>172</v>
      </c>
      <c r="M1378" t="s">
        <v>172</v>
      </c>
      <c r="N1378" t="s">
        <v>172</v>
      </c>
      <c r="O1378" s="2">
        <v>5879</v>
      </c>
      <c r="P1378" s="301">
        <v>4.0635346323188895E-2</v>
      </c>
      <c r="Q1378" s="14">
        <v>70.303030303030297</v>
      </c>
      <c r="R1378" s="2">
        <v>5521</v>
      </c>
      <c r="S1378" s="301">
        <v>3.7346699947913495E-2</v>
      </c>
      <c r="T1378" s="14">
        <v>75.151510000000002</v>
      </c>
      <c r="V1378" t="s">
        <v>172</v>
      </c>
      <c r="W1378" t="s">
        <v>172</v>
      </c>
      <c r="X1378" t="s">
        <v>172</v>
      </c>
      <c r="Y1378" s="2">
        <v>1223313</v>
      </c>
      <c r="Z1378" s="27">
        <v>3.2000000000000001E-2</v>
      </c>
      <c r="AA1378" s="14">
        <v>433.33</v>
      </c>
      <c r="AB1378" s="2">
        <v>1171369</v>
      </c>
      <c r="AC1378" s="27">
        <v>0.03</v>
      </c>
      <c r="AD1378" s="14">
        <v>599.39</v>
      </c>
    </row>
    <row r="1379" spans="1:30" x14ac:dyDescent="0.3">
      <c r="A1379" t="s">
        <v>2031</v>
      </c>
      <c r="B1379" t="s">
        <v>172</v>
      </c>
      <c r="C1379" t="s">
        <v>172</v>
      </c>
      <c r="D1379" t="s">
        <v>172</v>
      </c>
      <c r="E1379" s="2">
        <v>7596</v>
      </c>
      <c r="F1379" s="301">
        <v>0.12089958458673543</v>
      </c>
      <c r="G1379" s="14">
        <v>268.48484848484799</v>
      </c>
      <c r="H1379" s="2">
        <v>7773</v>
      </c>
      <c r="I1379" s="301">
        <v>0.1200333554673626</v>
      </c>
      <c r="J1379" s="14">
        <v>293.33334400000001</v>
      </c>
      <c r="L1379" t="s">
        <v>172</v>
      </c>
      <c r="M1379" t="s">
        <v>172</v>
      </c>
      <c r="N1379" t="s">
        <v>172</v>
      </c>
      <c r="O1379" s="2">
        <v>15242</v>
      </c>
      <c r="P1379" s="301">
        <v>0.10535192186733205</v>
      </c>
      <c r="Q1379" s="14">
        <v>110.90909090909</v>
      </c>
      <c r="R1379" s="2">
        <v>15518</v>
      </c>
      <c r="S1379" s="301">
        <v>0.10497121713307764</v>
      </c>
      <c r="T1379" s="14">
        <v>44.242424</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2038</v>
      </c>
      <c r="B1380" t="s">
        <v>172</v>
      </c>
      <c r="C1380" t="s">
        <v>172</v>
      </c>
      <c r="D1380" t="s">
        <v>172</v>
      </c>
      <c r="E1380" s="2">
        <v>127</v>
      </c>
      <c r="F1380" s="301">
        <v>2.0213595632590045E-3</v>
      </c>
      <c r="G1380" s="14">
        <v>64.242424242424207</v>
      </c>
      <c r="H1380" s="2">
        <v>21</v>
      </c>
      <c r="I1380" s="301">
        <v>3.2428926602529458E-4</v>
      </c>
      <c r="J1380" s="14">
        <v>15.757576</v>
      </c>
      <c r="L1380" t="s">
        <v>172</v>
      </c>
      <c r="M1380" t="s">
        <v>172</v>
      </c>
      <c r="N1380" t="s">
        <v>172</v>
      </c>
      <c r="O1380" s="2">
        <v>208</v>
      </c>
      <c r="P1380" s="301">
        <v>1.437685326624135E-3</v>
      </c>
      <c r="Q1380" s="14">
        <v>76.363636363636303</v>
      </c>
      <c r="R1380" s="2">
        <v>56</v>
      </c>
      <c r="S1380" s="301">
        <v>3.7881093951877483E-4</v>
      </c>
      <c r="T1380" s="14">
        <v>30.30303</v>
      </c>
      <c r="V1380" t="s">
        <v>172</v>
      </c>
      <c r="W1380" t="s">
        <v>172</v>
      </c>
      <c r="X1380" t="s">
        <v>172</v>
      </c>
      <c r="Y1380" s="2">
        <v>23892</v>
      </c>
      <c r="Z1380" s="27">
        <v>1E-3</v>
      </c>
      <c r="AA1380" s="14">
        <v>687.27</v>
      </c>
      <c r="AB1380" s="2">
        <v>24795</v>
      </c>
      <c r="AC1380" s="27">
        <v>1E-3</v>
      </c>
      <c r="AD1380" s="14">
        <v>776.36</v>
      </c>
    </row>
    <row r="1381" spans="1:30" x14ac:dyDescent="0.3">
      <c r="A1381" t="s">
        <v>2039</v>
      </c>
      <c r="B1381" t="s">
        <v>172</v>
      </c>
      <c r="C1381" t="s">
        <v>172</v>
      </c>
      <c r="D1381" t="s">
        <v>172</v>
      </c>
      <c r="E1381" s="2">
        <v>7469</v>
      </c>
      <c r="F1381" s="301">
        <v>0.11887822502347642</v>
      </c>
      <c r="G1381" s="14">
        <v>277.575757575757</v>
      </c>
      <c r="H1381" s="2">
        <v>7752</v>
      </c>
      <c r="I1381" s="301">
        <v>0.11970906620133731</v>
      </c>
      <c r="J1381" s="14">
        <v>295.15152</v>
      </c>
      <c r="L1381" t="s">
        <v>172</v>
      </c>
      <c r="M1381" t="s">
        <v>172</v>
      </c>
      <c r="N1381" t="s">
        <v>172</v>
      </c>
      <c r="O1381" s="2">
        <v>15034</v>
      </c>
      <c r="P1381" s="301">
        <v>0.10391423654070792</v>
      </c>
      <c r="Q1381" s="14">
        <v>141.21212121212099</v>
      </c>
      <c r="R1381" s="2">
        <v>15462</v>
      </c>
      <c r="S1381" s="301">
        <v>0.10459240619355886</v>
      </c>
      <c r="T1381" s="14">
        <v>52.121212</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2032</v>
      </c>
      <c r="B1382" t="s">
        <v>172</v>
      </c>
      <c r="C1382" t="s">
        <v>172</v>
      </c>
      <c r="D1382" t="s">
        <v>172</v>
      </c>
      <c r="E1382" s="2">
        <v>7874</v>
      </c>
      <c r="F1382" s="301">
        <v>0.12532429292205829</v>
      </c>
      <c r="G1382" s="14">
        <v>296.969696969697</v>
      </c>
      <c r="H1382" s="2">
        <v>8241</v>
      </c>
      <c r="I1382" s="301">
        <v>0.1272603733959263</v>
      </c>
      <c r="J1382" s="14">
        <v>317.57574499999998</v>
      </c>
      <c r="L1382" t="s">
        <v>172</v>
      </c>
      <c r="M1382" t="s">
        <v>172</v>
      </c>
      <c r="N1382" t="s">
        <v>172</v>
      </c>
      <c r="O1382" s="2">
        <v>16144</v>
      </c>
      <c r="P1382" s="301">
        <v>0.11158649958182711</v>
      </c>
      <c r="Q1382" s="14">
        <v>258.78787878787801</v>
      </c>
      <c r="R1382" s="2">
        <v>16979</v>
      </c>
      <c r="S1382" s="301">
        <v>0.11485412396587996</v>
      </c>
      <c r="T1382" s="14">
        <v>264.24243200000001</v>
      </c>
      <c r="V1382" t="s">
        <v>172</v>
      </c>
      <c r="W1382" t="s">
        <v>172</v>
      </c>
      <c r="X1382" t="s">
        <v>172</v>
      </c>
      <c r="Y1382" s="2">
        <v>4637444</v>
      </c>
      <c r="Z1382" s="27">
        <v>0.122</v>
      </c>
      <c r="AA1382" s="14">
        <v>757.58</v>
      </c>
      <c r="AB1382" s="2">
        <v>4690779</v>
      </c>
      <c r="AC1382" s="27">
        <v>0.121</v>
      </c>
      <c r="AD1382" s="14">
        <v>973.33</v>
      </c>
    </row>
    <row r="1383" spans="1:30" x14ac:dyDescent="0.3">
      <c r="A1383" t="s">
        <v>2038</v>
      </c>
      <c r="B1383" t="s">
        <v>172</v>
      </c>
      <c r="C1383" t="s">
        <v>172</v>
      </c>
      <c r="D1383" t="s">
        <v>172</v>
      </c>
      <c r="E1383" s="2">
        <v>229</v>
      </c>
      <c r="F1383" s="301">
        <v>3.6448137006796226E-3</v>
      </c>
      <c r="G1383" s="14">
        <v>58.787878787878803</v>
      </c>
      <c r="H1383" s="2">
        <v>64</v>
      </c>
      <c r="I1383" s="301">
        <v>9.8831014407708821E-4</v>
      </c>
      <c r="J1383" s="14">
        <v>43.636364</v>
      </c>
      <c r="L1383" t="s">
        <v>172</v>
      </c>
      <c r="M1383" t="s">
        <v>172</v>
      </c>
      <c r="N1383" t="s">
        <v>172</v>
      </c>
      <c r="O1383" s="2">
        <v>347</v>
      </c>
      <c r="P1383" s="301">
        <v>2.3984461939354561E-3</v>
      </c>
      <c r="Q1383" s="14">
        <v>71.515151515151501</v>
      </c>
      <c r="R1383" s="2">
        <v>305</v>
      </c>
      <c r="S1383" s="301">
        <v>2.0631667241647559E-3</v>
      </c>
      <c r="T1383" s="14">
        <v>95.757576</v>
      </c>
      <c r="V1383" t="s">
        <v>172</v>
      </c>
      <c r="W1383" t="s">
        <v>172</v>
      </c>
      <c r="X1383" t="s">
        <v>172</v>
      </c>
      <c r="Y1383" s="2">
        <v>39782</v>
      </c>
      <c r="Z1383" s="27">
        <v>1E-3</v>
      </c>
      <c r="AA1383" s="14">
        <v>870.3</v>
      </c>
      <c r="AB1383" s="2">
        <v>49882</v>
      </c>
      <c r="AC1383" s="27">
        <v>1E-3</v>
      </c>
      <c r="AD1383" s="14">
        <v>1355.15</v>
      </c>
    </row>
    <row r="1384" spans="1:30" x14ac:dyDescent="0.3">
      <c r="A1384" t="s">
        <v>2039</v>
      </c>
      <c r="B1384" t="s">
        <v>172</v>
      </c>
      <c r="C1384" t="s">
        <v>172</v>
      </c>
      <c r="D1384" t="s">
        <v>172</v>
      </c>
      <c r="E1384" s="2">
        <v>7645</v>
      </c>
      <c r="F1384" s="301">
        <v>0.12167947922137866</v>
      </c>
      <c r="G1384" s="14">
        <v>302.42424242424198</v>
      </c>
      <c r="H1384" s="2">
        <v>8177</v>
      </c>
      <c r="I1384" s="301">
        <v>0.12627206325184923</v>
      </c>
      <c r="J1384" s="14">
        <v>316.96969999999999</v>
      </c>
      <c r="L1384" t="s">
        <v>172</v>
      </c>
      <c r="M1384" t="s">
        <v>172</v>
      </c>
      <c r="N1384" t="s">
        <v>172</v>
      </c>
      <c r="O1384" s="2">
        <v>15797</v>
      </c>
      <c r="P1384" s="301">
        <v>0.10918805338789164</v>
      </c>
      <c r="Q1384" s="14">
        <v>281.81818181818102</v>
      </c>
      <c r="R1384" s="2">
        <v>16674</v>
      </c>
      <c r="S1384" s="301">
        <v>0.1127909572417152</v>
      </c>
      <c r="T1384" s="14">
        <v>279.39395100000002</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2033</v>
      </c>
      <c r="B1385" t="s">
        <v>172</v>
      </c>
      <c r="C1385" t="s">
        <v>172</v>
      </c>
      <c r="D1385" t="s">
        <v>172</v>
      </c>
      <c r="E1385" s="2">
        <v>10259</v>
      </c>
      <c r="F1385" s="301">
        <v>0.16328447054704037</v>
      </c>
      <c r="G1385" s="14">
        <v>305.45454545454498</v>
      </c>
      <c r="H1385" s="2">
        <v>11074</v>
      </c>
      <c r="I1385" s="301">
        <v>0.17100853961733867</v>
      </c>
      <c r="J1385" s="14">
        <v>316.36364700000001</v>
      </c>
      <c r="L1385" t="s">
        <v>172</v>
      </c>
      <c r="M1385" t="s">
        <v>172</v>
      </c>
      <c r="N1385" t="s">
        <v>172</v>
      </c>
      <c r="O1385" s="2">
        <v>25488</v>
      </c>
      <c r="P1385" s="301">
        <v>0.1761717481009421</v>
      </c>
      <c r="Q1385" s="14">
        <v>240</v>
      </c>
      <c r="R1385" s="2">
        <v>26502</v>
      </c>
      <c r="S1385" s="301">
        <v>0.17927227712726018</v>
      </c>
      <c r="T1385" s="14">
        <v>275.15152</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2038</v>
      </c>
      <c r="B1386" t="s">
        <v>172</v>
      </c>
      <c r="C1386" t="s">
        <v>172</v>
      </c>
      <c r="D1386" t="s">
        <v>172</v>
      </c>
      <c r="E1386" s="2">
        <v>508</v>
      </c>
      <c r="F1386" s="301">
        <v>8.0854382530360178E-3</v>
      </c>
      <c r="G1386" s="14">
        <v>104.84848484848401</v>
      </c>
      <c r="H1386" s="2">
        <v>417</v>
      </c>
      <c r="I1386" s="301">
        <v>6.439458282502278E-3</v>
      </c>
      <c r="J1386" s="14">
        <v>103.63636</v>
      </c>
      <c r="L1386" t="s">
        <v>172</v>
      </c>
      <c r="M1386" t="s">
        <v>172</v>
      </c>
      <c r="N1386" t="s">
        <v>172</v>
      </c>
      <c r="O1386" s="2">
        <v>1197</v>
      </c>
      <c r="P1386" s="301">
        <v>8.2736025767744699E-3</v>
      </c>
      <c r="Q1386" s="14">
        <v>161.21212121212099</v>
      </c>
      <c r="R1386" s="2">
        <v>645</v>
      </c>
      <c r="S1386" s="301">
        <v>4.3630902855287456E-3</v>
      </c>
      <c r="T1386" s="14">
        <v>121.21212</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2039</v>
      </c>
      <c r="B1387" t="s">
        <v>172</v>
      </c>
      <c r="C1387" t="s">
        <v>172</v>
      </c>
      <c r="D1387" t="s">
        <v>172</v>
      </c>
      <c r="E1387" s="2">
        <v>9751</v>
      </c>
      <c r="F1387" s="301">
        <v>0.15519903229400436</v>
      </c>
      <c r="G1387" s="14">
        <v>300.60606060606</v>
      </c>
      <c r="H1387" s="2">
        <v>10657</v>
      </c>
      <c r="I1387" s="301">
        <v>0.16456908133483639</v>
      </c>
      <c r="J1387" s="14">
        <v>307.27273600000001</v>
      </c>
      <c r="L1387" t="s">
        <v>172</v>
      </c>
      <c r="M1387" t="s">
        <v>172</v>
      </c>
      <c r="N1387" t="s">
        <v>172</v>
      </c>
      <c r="O1387" s="2">
        <v>24291</v>
      </c>
      <c r="P1387" s="301">
        <v>0.16789814552416762</v>
      </c>
      <c r="Q1387" s="14">
        <v>281.81818181818102</v>
      </c>
      <c r="R1387" s="2">
        <v>25857</v>
      </c>
      <c r="S1387" s="301">
        <v>0.17490918684173143</v>
      </c>
      <c r="T1387" s="14">
        <v>293.33334400000001</v>
      </c>
      <c r="V1387" t="s">
        <v>172</v>
      </c>
      <c r="W1387" t="s">
        <v>172</v>
      </c>
      <c r="X1387" t="s">
        <v>172</v>
      </c>
      <c r="Y1387" s="2">
        <v>7331177</v>
      </c>
      <c r="Z1387" s="27">
        <v>0.193</v>
      </c>
      <c r="AA1387" s="14">
        <v>1932.73</v>
      </c>
      <c r="AB1387" s="2">
        <v>7385476</v>
      </c>
      <c r="AC1387" s="27">
        <v>0.19</v>
      </c>
      <c r="AD1387" s="14">
        <v>1851.52</v>
      </c>
    </row>
    <row r="1388" spans="1:30" x14ac:dyDescent="0.3">
      <c r="A1388" t="s">
        <v>2034</v>
      </c>
      <c r="B1388" t="s">
        <v>172</v>
      </c>
      <c r="C1388" t="s">
        <v>172</v>
      </c>
      <c r="D1388" t="s">
        <v>172</v>
      </c>
      <c r="E1388" s="2">
        <v>1589</v>
      </c>
      <c r="F1388" s="301">
        <v>2.5290868866287862E-2</v>
      </c>
      <c r="G1388" s="14">
        <v>106.666666666666</v>
      </c>
      <c r="H1388" s="2">
        <v>1695</v>
      </c>
      <c r="I1388" s="301">
        <v>2.6174776472041632E-2</v>
      </c>
      <c r="J1388" s="14">
        <v>136.96969999999999</v>
      </c>
      <c r="L1388" t="s">
        <v>172</v>
      </c>
      <c r="M1388" t="s">
        <v>172</v>
      </c>
      <c r="N1388" t="s">
        <v>172</v>
      </c>
      <c r="O1388" s="2">
        <v>5649</v>
      </c>
      <c r="P1388" s="301">
        <v>3.9045598125479516E-2</v>
      </c>
      <c r="Q1388" s="14">
        <v>78.181818181818201</v>
      </c>
      <c r="R1388" s="2">
        <v>6649</v>
      </c>
      <c r="S1388" s="301">
        <v>4.4977034586791677E-2</v>
      </c>
      <c r="T1388" s="14">
        <v>96.969695999999999</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2038</v>
      </c>
      <c r="B1389" t="s">
        <v>172</v>
      </c>
      <c r="C1389" t="s">
        <v>172</v>
      </c>
      <c r="D1389" t="s">
        <v>172</v>
      </c>
      <c r="E1389" s="2">
        <v>137</v>
      </c>
      <c r="F1389" s="301">
        <v>2.1805217335943592E-3</v>
      </c>
      <c r="G1389" s="14">
        <v>50.909090909090899</v>
      </c>
      <c r="H1389" s="2">
        <v>27</v>
      </c>
      <c r="I1389" s="301">
        <v>4.1694334203252158E-4</v>
      </c>
      <c r="J1389" s="14">
        <v>23.030304000000001</v>
      </c>
      <c r="L1389" t="s">
        <v>172</v>
      </c>
      <c r="M1389" t="s">
        <v>172</v>
      </c>
      <c r="N1389" t="s">
        <v>172</v>
      </c>
      <c r="O1389" s="2">
        <v>412</v>
      </c>
      <c r="P1389" s="301">
        <v>2.8477228585054985E-3</v>
      </c>
      <c r="Q1389" s="14">
        <v>91.515151515151501</v>
      </c>
      <c r="R1389" s="2">
        <v>167</v>
      </c>
      <c r="S1389" s="301">
        <v>1.1296683374934892E-3</v>
      </c>
      <c r="T1389" s="14">
        <v>56.969695999999999</v>
      </c>
      <c r="V1389" t="s">
        <v>172</v>
      </c>
      <c r="W1389" t="s">
        <v>172</v>
      </c>
      <c r="X1389" t="s">
        <v>172</v>
      </c>
      <c r="Y1389" s="2">
        <v>59577</v>
      </c>
      <c r="Z1389" s="27">
        <v>2E-3</v>
      </c>
      <c r="AA1389" s="14">
        <v>855.76</v>
      </c>
      <c r="AB1389" s="2">
        <v>67567</v>
      </c>
      <c r="AC1389" s="27">
        <v>2E-3</v>
      </c>
      <c r="AD1389" s="14">
        <v>1325.45</v>
      </c>
    </row>
    <row r="1390" spans="1:30" x14ac:dyDescent="0.3">
      <c r="A1390" t="s">
        <v>2039</v>
      </c>
      <c r="B1390" t="s">
        <v>172</v>
      </c>
      <c r="C1390" t="s">
        <v>172</v>
      </c>
      <c r="D1390" t="s">
        <v>172</v>
      </c>
      <c r="E1390" s="2">
        <v>1452</v>
      </c>
      <c r="F1390" s="301">
        <v>2.3110347132693502E-2</v>
      </c>
      <c r="G1390" s="14">
        <v>109.69696969696901</v>
      </c>
      <c r="H1390" s="2">
        <v>1668</v>
      </c>
      <c r="I1390" s="301">
        <v>2.5757833130009112E-2</v>
      </c>
      <c r="J1390" s="14">
        <v>137.57576</v>
      </c>
      <c r="L1390" t="s">
        <v>172</v>
      </c>
      <c r="M1390" t="s">
        <v>172</v>
      </c>
      <c r="N1390" t="s">
        <v>172</v>
      </c>
      <c r="O1390" s="2">
        <v>5237</v>
      </c>
      <c r="P1390" s="301">
        <v>3.6197875266974017E-2</v>
      </c>
      <c r="Q1390" s="14">
        <v>117.575757575757</v>
      </c>
      <c r="R1390" s="2">
        <v>6482</v>
      </c>
      <c r="S1390" s="301">
        <v>4.3847366249298185E-2</v>
      </c>
      <c r="T1390" s="14">
        <v>120.606064</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2035</v>
      </c>
      <c r="B1391" t="s">
        <v>172</v>
      </c>
      <c r="C1391" t="s">
        <v>172</v>
      </c>
      <c r="D1391" t="s">
        <v>172</v>
      </c>
      <c r="E1391" s="2">
        <v>1307</v>
      </c>
      <c r="F1391" s="301">
        <v>2.0802495662830857E-2</v>
      </c>
      <c r="G1391" s="14">
        <v>143.030303030303</v>
      </c>
      <c r="H1391" s="2">
        <v>1416</v>
      </c>
      <c r="I1391" s="301">
        <v>2.1866361937705577E-2</v>
      </c>
      <c r="J1391" s="14">
        <v>143.636368</v>
      </c>
      <c r="L1391" t="s">
        <v>172</v>
      </c>
      <c r="M1391" t="s">
        <v>172</v>
      </c>
      <c r="N1391" t="s">
        <v>172</v>
      </c>
      <c r="O1391" s="2">
        <v>4018</v>
      </c>
      <c r="P1391" s="301">
        <v>2.7772209819114303E-2</v>
      </c>
      <c r="Q1391" s="14">
        <v>87.878787878787904</v>
      </c>
      <c r="R1391" s="2">
        <v>4533</v>
      </c>
      <c r="S1391" s="301">
        <v>3.0663392657832255E-2</v>
      </c>
      <c r="T1391" s="14">
        <v>89.090909999999994</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2038</v>
      </c>
      <c r="B1392" t="s">
        <v>172</v>
      </c>
      <c r="C1392" t="s">
        <v>172</v>
      </c>
      <c r="D1392" t="s">
        <v>172</v>
      </c>
      <c r="E1392" s="2">
        <v>202</v>
      </c>
      <c r="F1392" s="301">
        <v>3.2150758407741647E-3</v>
      </c>
      <c r="G1392" s="14">
        <v>70.303030303030297</v>
      </c>
      <c r="H1392" s="2">
        <v>152</v>
      </c>
      <c r="I1392" s="301">
        <v>2.3472365921830846E-3</v>
      </c>
      <c r="J1392" s="14">
        <v>36.969695999999999</v>
      </c>
      <c r="L1392" t="s">
        <v>172</v>
      </c>
      <c r="M1392" t="s">
        <v>172</v>
      </c>
      <c r="N1392" t="s">
        <v>172</v>
      </c>
      <c r="O1392" s="2">
        <v>701</v>
      </c>
      <c r="P1392" s="301">
        <v>4.8452760286707627E-3</v>
      </c>
      <c r="Q1392" s="14">
        <v>112.72727272727199</v>
      </c>
      <c r="R1392" s="2">
        <v>424</v>
      </c>
      <c r="S1392" s="301">
        <v>2.8681399706421522E-3</v>
      </c>
      <c r="T1392" s="14">
        <v>81.212119999999999</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2039</v>
      </c>
      <c r="B1393" t="s">
        <v>172</v>
      </c>
      <c r="C1393" t="s">
        <v>172</v>
      </c>
      <c r="D1393" t="s">
        <v>172</v>
      </c>
      <c r="E1393" s="2">
        <v>1105</v>
      </c>
      <c r="F1393" s="301">
        <v>1.7587419822056694E-2</v>
      </c>
      <c r="G1393" s="14">
        <v>132.12121212121201</v>
      </c>
      <c r="H1393" s="2">
        <v>1264</v>
      </c>
      <c r="I1393" s="301">
        <v>1.9519125345522491E-2</v>
      </c>
      <c r="J1393" s="14">
        <v>153.33332799999999</v>
      </c>
      <c r="L1393" t="s">
        <v>172</v>
      </c>
      <c r="M1393" t="s">
        <v>172</v>
      </c>
      <c r="N1393" t="s">
        <v>172</v>
      </c>
      <c r="O1393" s="2">
        <v>3317</v>
      </c>
      <c r="P1393" s="301">
        <v>2.2926933790443541E-2</v>
      </c>
      <c r="Q1393" s="14">
        <v>149.69696969696901</v>
      </c>
      <c r="R1393" s="2">
        <v>4109</v>
      </c>
      <c r="S1393" s="301">
        <v>2.7795252687190103E-2</v>
      </c>
      <c r="T1393" s="14">
        <v>127.272728</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2040</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172</v>
      </c>
      <c r="C1396" t="s">
        <v>172</v>
      </c>
      <c r="D1396" t="s">
        <v>172</v>
      </c>
      <c r="E1396" s="304" t="s">
        <v>1706</v>
      </c>
      <c r="F1396" s="304"/>
      <c r="G1396" s="304" t="s">
        <v>1707</v>
      </c>
      <c r="H1396" s="304" t="s">
        <v>1706</v>
      </c>
      <c r="I1396" s="304"/>
      <c r="J1396" s="304" t="s">
        <v>1707</v>
      </c>
      <c r="K1396" t="s">
        <v>172</v>
      </c>
      <c r="L1396" t="s">
        <v>172</v>
      </c>
      <c r="M1396" t="s">
        <v>172</v>
      </c>
      <c r="N1396" t="s">
        <v>172</v>
      </c>
      <c r="O1396" s="304" t="s">
        <v>1706</v>
      </c>
      <c r="P1396" s="304"/>
      <c r="Q1396" s="304" t="s">
        <v>1707</v>
      </c>
      <c r="R1396" s="304" t="s">
        <v>1706</v>
      </c>
      <c r="S1396" s="304"/>
      <c r="T1396" s="304" t="s">
        <v>1707</v>
      </c>
      <c r="U1396" t="s">
        <v>172</v>
      </c>
      <c r="V1396" t="s">
        <v>172</v>
      </c>
      <c r="W1396" t="s">
        <v>172</v>
      </c>
      <c r="X1396" t="s">
        <v>172</v>
      </c>
      <c r="Y1396" s="207" t="s">
        <v>1706</v>
      </c>
      <c r="Z1396" s="207"/>
      <c r="AA1396" s="207" t="s">
        <v>1707</v>
      </c>
      <c r="AB1396" s="207" t="s">
        <v>1706</v>
      </c>
      <c r="AC1396" s="207"/>
      <c r="AD1396" s="207" t="s">
        <v>1707</v>
      </c>
      <c r="AE1396" t="s">
        <v>172</v>
      </c>
    </row>
    <row r="1397" spans="1:31" x14ac:dyDescent="0.3">
      <c r="A1397" t="s">
        <v>174</v>
      </c>
      <c r="B1397" t="s">
        <v>172</v>
      </c>
      <c r="C1397" t="s">
        <v>172</v>
      </c>
      <c r="D1397" t="s">
        <v>172</v>
      </c>
      <c r="E1397" s="2">
        <v>56518</v>
      </c>
      <c r="F1397" t="s">
        <v>172</v>
      </c>
      <c r="G1397" s="14">
        <v>296.969696969697</v>
      </c>
      <c r="H1397" s="2">
        <v>58850</v>
      </c>
      <c r="I1397" t="s">
        <v>172</v>
      </c>
      <c r="J1397" s="14">
        <v>313.33334400000001</v>
      </c>
      <c r="L1397" t="s">
        <v>172</v>
      </c>
      <c r="M1397" t="s">
        <v>172</v>
      </c>
      <c r="N1397" t="s">
        <v>172</v>
      </c>
      <c r="O1397" s="2">
        <v>132942</v>
      </c>
      <c r="P1397" t="s">
        <v>172</v>
      </c>
      <c r="Q1397" s="14">
        <v>403.030303030303</v>
      </c>
      <c r="R1397" s="2">
        <v>136447</v>
      </c>
      <c r="S1397" t="s">
        <v>172</v>
      </c>
      <c r="T1397" s="14">
        <v>342.42425500000002</v>
      </c>
      <c r="V1397" t="s">
        <v>172</v>
      </c>
      <c r="W1397" t="s">
        <v>172</v>
      </c>
      <c r="X1397" t="s">
        <v>172</v>
      </c>
      <c r="Y1397" s="2">
        <v>35400693</v>
      </c>
      <c r="Z1397" s="27" t="s">
        <v>172</v>
      </c>
      <c r="AA1397" s="14">
        <v>1443.03</v>
      </c>
      <c r="AB1397" s="2">
        <v>36429855</v>
      </c>
      <c r="AC1397" s="27" t="s">
        <v>172</v>
      </c>
      <c r="AD1397" s="14">
        <v>1813.33</v>
      </c>
    </row>
    <row r="1398" spans="1:31" x14ac:dyDescent="0.3">
      <c r="A1398" t="s">
        <v>2028</v>
      </c>
      <c r="B1398" t="s">
        <v>172</v>
      </c>
      <c r="C1398" t="s">
        <v>172</v>
      </c>
      <c r="D1398" t="s">
        <v>172</v>
      </c>
      <c r="E1398" s="2">
        <v>27893</v>
      </c>
      <c r="F1398" s="301">
        <v>0.49352418698467743</v>
      </c>
      <c r="G1398" s="14">
        <v>360</v>
      </c>
      <c r="H1398" s="2">
        <v>28651</v>
      </c>
      <c r="I1398" s="301">
        <v>0.4868479184367035</v>
      </c>
      <c r="J1398" s="14">
        <v>412.72726399999999</v>
      </c>
      <c r="L1398" t="s">
        <v>172</v>
      </c>
      <c r="M1398" t="s">
        <v>172</v>
      </c>
      <c r="N1398" t="s">
        <v>172</v>
      </c>
      <c r="O1398" s="2">
        <v>66401</v>
      </c>
      <c r="P1398" s="301">
        <v>0.49947345458921938</v>
      </c>
      <c r="Q1398" s="14">
        <v>252.12121212121201</v>
      </c>
      <c r="R1398" s="2">
        <v>66266</v>
      </c>
      <c r="S1398" s="301">
        <v>0.4856537703284059</v>
      </c>
      <c r="T1398" s="14">
        <v>242.42424</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2031</v>
      </c>
      <c r="B1399" t="s">
        <v>172</v>
      </c>
      <c r="C1399" t="s">
        <v>172</v>
      </c>
      <c r="D1399" t="s">
        <v>172</v>
      </c>
      <c r="E1399" s="2">
        <v>7590</v>
      </c>
      <c r="F1399" s="301">
        <v>0.13429349941611521</v>
      </c>
      <c r="G1399" s="14">
        <v>269.69696969696901</v>
      </c>
      <c r="H1399" s="2">
        <v>7938</v>
      </c>
      <c r="I1399" s="301">
        <v>0.13488530161427359</v>
      </c>
      <c r="J1399" s="14">
        <v>257.57574499999998</v>
      </c>
      <c r="L1399" t="s">
        <v>172</v>
      </c>
      <c r="M1399" t="s">
        <v>172</v>
      </c>
      <c r="N1399" t="s">
        <v>172</v>
      </c>
      <c r="O1399" s="2">
        <v>15721</v>
      </c>
      <c r="P1399" s="301">
        <v>0.11825457718403515</v>
      </c>
      <c r="Q1399" s="14">
        <v>135.15151515151501</v>
      </c>
      <c r="R1399" s="2">
        <v>15821</v>
      </c>
      <c r="S1399" s="301">
        <v>0.1159497826995097</v>
      </c>
      <c r="T1399" s="14">
        <v>87.878784199999998</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2041</v>
      </c>
      <c r="B1400" t="s">
        <v>172</v>
      </c>
      <c r="C1400" t="s">
        <v>172</v>
      </c>
      <c r="D1400" t="s">
        <v>172</v>
      </c>
      <c r="E1400" s="2">
        <v>125</v>
      </c>
      <c r="F1400" s="301">
        <v>2.2116847729926749E-3</v>
      </c>
      <c r="G1400" s="2">
        <v>58.787878787878803</v>
      </c>
      <c r="H1400" s="2">
        <v>399</v>
      </c>
      <c r="I1400" s="301">
        <v>6.7799490229396775E-3</v>
      </c>
      <c r="J1400" s="14">
        <v>106.060608</v>
      </c>
      <c r="L1400" t="s">
        <v>172</v>
      </c>
      <c r="M1400" t="s">
        <v>172</v>
      </c>
      <c r="N1400" t="s">
        <v>172</v>
      </c>
      <c r="O1400" s="2">
        <v>477</v>
      </c>
      <c r="P1400" s="301">
        <v>3.5880308706052262E-3</v>
      </c>
      <c r="Q1400" s="2">
        <v>130.90909090909</v>
      </c>
      <c r="R1400" s="2">
        <v>824</v>
      </c>
      <c r="S1400" s="301">
        <v>6.0389748400477838E-3</v>
      </c>
      <c r="T1400" s="14">
        <v>138.18182400000001</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2042</v>
      </c>
      <c r="B1401" t="s">
        <v>172</v>
      </c>
      <c r="C1401" t="s">
        <v>172</v>
      </c>
      <c r="D1401" t="s">
        <v>172</v>
      </c>
      <c r="E1401" s="2">
        <v>7465</v>
      </c>
      <c r="F1401" s="301">
        <v>0.13208181464312255</v>
      </c>
      <c r="G1401" s="14">
        <v>283.030303030303</v>
      </c>
      <c r="H1401" s="2">
        <v>7539</v>
      </c>
      <c r="I1401" s="301">
        <v>0.1281053525913339</v>
      </c>
      <c r="J1401" s="14">
        <v>265.45455900000002</v>
      </c>
      <c r="L1401" t="s">
        <v>172</v>
      </c>
      <c r="M1401" t="s">
        <v>172</v>
      </c>
      <c r="N1401" t="s">
        <v>172</v>
      </c>
      <c r="O1401" s="2">
        <v>15244</v>
      </c>
      <c r="P1401" s="301">
        <v>0.11466654631342992</v>
      </c>
      <c r="Q1401" s="14">
        <v>177.575757575757</v>
      </c>
      <c r="R1401" s="2">
        <v>14997</v>
      </c>
      <c r="S1401" s="301">
        <v>0.10991080785946192</v>
      </c>
      <c r="T1401" s="14">
        <v>176.96969999999999</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2032</v>
      </c>
      <c r="B1402" t="s">
        <v>172</v>
      </c>
      <c r="C1402" t="s">
        <v>172</v>
      </c>
      <c r="D1402" t="s">
        <v>172</v>
      </c>
      <c r="E1402" s="2">
        <v>8632</v>
      </c>
      <c r="F1402" s="301">
        <v>0.15273010368378215</v>
      </c>
      <c r="G1402" s="14">
        <v>309.09090909090901</v>
      </c>
      <c r="H1402" s="2">
        <v>8351</v>
      </c>
      <c r="I1402" s="301">
        <v>0.14190314358538658</v>
      </c>
      <c r="J1402" s="14">
        <v>294.54544099999998</v>
      </c>
      <c r="L1402" t="s">
        <v>172</v>
      </c>
      <c r="M1402" t="s">
        <v>172</v>
      </c>
      <c r="N1402" t="s">
        <v>172</v>
      </c>
      <c r="O1402" s="2">
        <v>17134</v>
      </c>
      <c r="P1402" s="301">
        <v>0.12888327240450723</v>
      </c>
      <c r="Q1402" s="14">
        <v>133.939393939393</v>
      </c>
      <c r="R1402" s="2">
        <v>16548</v>
      </c>
      <c r="S1402" s="301">
        <v>0.12127785880231885</v>
      </c>
      <c r="T1402" s="14">
        <v>134.545456</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2041</v>
      </c>
      <c r="B1403" t="s">
        <v>172</v>
      </c>
      <c r="C1403" t="s">
        <v>172</v>
      </c>
      <c r="D1403" t="s">
        <v>172</v>
      </c>
      <c r="E1403" s="2">
        <v>341</v>
      </c>
      <c r="F1403" s="301">
        <v>6.0334760607240173E-3</v>
      </c>
      <c r="G1403" s="14">
        <v>97.575757575757606</v>
      </c>
      <c r="H1403" s="2">
        <v>605</v>
      </c>
      <c r="I1403" s="301">
        <v>1.0280373831775701E-2</v>
      </c>
      <c r="J1403" s="14">
        <v>139.393936</v>
      </c>
      <c r="L1403" t="s">
        <v>172</v>
      </c>
      <c r="M1403" t="s">
        <v>172</v>
      </c>
      <c r="N1403" t="s">
        <v>172</v>
      </c>
      <c r="O1403" s="2">
        <v>585</v>
      </c>
      <c r="P1403" s="301">
        <v>4.4004152186667873E-3</v>
      </c>
      <c r="Q1403" s="14">
        <v>115.757575757575</v>
      </c>
      <c r="R1403" s="2">
        <v>982</v>
      </c>
      <c r="S1403" s="301">
        <v>7.1969336079210243E-3</v>
      </c>
      <c r="T1403" s="14">
        <v>172.121216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2042</v>
      </c>
      <c r="B1404" t="s">
        <v>172</v>
      </c>
      <c r="C1404" t="s">
        <v>172</v>
      </c>
      <c r="D1404" t="s">
        <v>172</v>
      </c>
      <c r="E1404" s="2">
        <v>8291</v>
      </c>
      <c r="F1404" s="301">
        <v>0.14669662762305813</v>
      </c>
      <c r="G1404" s="14">
        <v>301.21212121212102</v>
      </c>
      <c r="H1404" s="2">
        <v>7746</v>
      </c>
      <c r="I1404" s="301">
        <v>0.13162276975361087</v>
      </c>
      <c r="J1404" s="14">
        <v>300</v>
      </c>
      <c r="L1404" t="s">
        <v>172</v>
      </c>
      <c r="M1404" t="s">
        <v>172</v>
      </c>
      <c r="N1404" t="s">
        <v>172</v>
      </c>
      <c r="O1404" s="2">
        <v>16549</v>
      </c>
      <c r="P1404" s="301">
        <v>0.12448285718584044</v>
      </c>
      <c r="Q1404" s="14">
        <v>149.69696969696901</v>
      </c>
      <c r="R1404" s="2">
        <v>15566</v>
      </c>
      <c r="S1404" s="301">
        <v>0.11408092519439783</v>
      </c>
      <c r="T1404" s="14">
        <v>213.33332799999999</v>
      </c>
      <c r="V1404" t="s">
        <v>172</v>
      </c>
      <c r="W1404" t="s">
        <v>172</v>
      </c>
      <c r="X1404" t="s">
        <v>172</v>
      </c>
      <c r="Y1404" s="2">
        <v>4587265</v>
      </c>
      <c r="Z1404" s="27">
        <v>0.13</v>
      </c>
      <c r="AA1404" s="14">
        <v>2661.82</v>
      </c>
      <c r="AB1404" s="2">
        <v>4637230</v>
      </c>
      <c r="AC1404" s="27">
        <v>0.127</v>
      </c>
      <c r="AD1404" s="14">
        <v>2895.15</v>
      </c>
    </row>
    <row r="1405" spans="1:31" x14ac:dyDescent="0.3">
      <c r="A1405" t="s">
        <v>2033</v>
      </c>
      <c r="B1405" t="s">
        <v>172</v>
      </c>
      <c r="C1405" t="s">
        <v>172</v>
      </c>
      <c r="D1405" t="s">
        <v>172</v>
      </c>
      <c r="E1405" s="2">
        <v>9561</v>
      </c>
      <c r="F1405" s="301">
        <v>0.16916734491666371</v>
      </c>
      <c r="G1405" s="14">
        <v>252.12121212121201</v>
      </c>
      <c r="H1405" s="2">
        <v>9792</v>
      </c>
      <c r="I1405" s="301">
        <v>0.16638912489379779</v>
      </c>
      <c r="J1405" s="14">
        <v>298.18182400000001</v>
      </c>
      <c r="L1405" t="s">
        <v>172</v>
      </c>
      <c r="M1405" t="s">
        <v>172</v>
      </c>
      <c r="N1405" t="s">
        <v>172</v>
      </c>
      <c r="O1405" s="2">
        <v>24669</v>
      </c>
      <c r="P1405" s="301">
        <v>0.18556212483639481</v>
      </c>
      <c r="Q1405" s="14">
        <v>168.48484848484799</v>
      </c>
      <c r="R1405" s="2">
        <v>23784</v>
      </c>
      <c r="S1405" s="301">
        <v>0.17430943882972877</v>
      </c>
      <c r="T1405" s="14">
        <v>184.24243200000001</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2041</v>
      </c>
      <c r="B1406" t="s">
        <v>172</v>
      </c>
      <c r="C1406" t="s">
        <v>172</v>
      </c>
      <c r="D1406" t="s">
        <v>172</v>
      </c>
      <c r="E1406" s="2">
        <v>525</v>
      </c>
      <c r="F1406" s="301">
        <v>9.2890760465692349E-3</v>
      </c>
      <c r="G1406" s="14">
        <v>110.30303030303</v>
      </c>
      <c r="H1406" s="2">
        <v>346</v>
      </c>
      <c r="I1406" s="301">
        <v>5.8793542905692438E-3</v>
      </c>
      <c r="J1406" s="14">
        <v>94.545455899999993</v>
      </c>
      <c r="L1406" t="s">
        <v>172</v>
      </c>
      <c r="M1406" t="s">
        <v>172</v>
      </c>
      <c r="N1406" t="s">
        <v>172</v>
      </c>
      <c r="O1406" s="2">
        <v>1311</v>
      </c>
      <c r="P1406" s="301">
        <v>9.861443336191723E-3</v>
      </c>
      <c r="Q1406" s="14">
        <v>164.24242424242399</v>
      </c>
      <c r="R1406" s="2">
        <v>917</v>
      </c>
      <c r="S1406" s="301">
        <v>6.7205581654415265E-3</v>
      </c>
      <c r="T1406" s="14">
        <v>141.21212800000001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2042</v>
      </c>
      <c r="B1407" t="s">
        <v>172</v>
      </c>
      <c r="C1407" t="s">
        <v>172</v>
      </c>
      <c r="D1407" t="s">
        <v>172</v>
      </c>
      <c r="E1407" s="2">
        <v>9036</v>
      </c>
      <c r="F1407" s="301">
        <v>0.15987826887009449</v>
      </c>
      <c r="G1407" s="14">
        <v>257.575757575757</v>
      </c>
      <c r="H1407" s="2">
        <v>9446</v>
      </c>
      <c r="I1407" s="301">
        <v>0.16050977060322855</v>
      </c>
      <c r="J1407" s="14">
        <v>294.54544099999998</v>
      </c>
      <c r="L1407" t="s">
        <v>172</v>
      </c>
      <c r="M1407" t="s">
        <v>172</v>
      </c>
      <c r="N1407" t="s">
        <v>172</v>
      </c>
      <c r="O1407" s="2">
        <v>23358</v>
      </c>
      <c r="P1407" s="301">
        <v>0.1757006815002031</v>
      </c>
      <c r="Q1407" s="14">
        <v>240.60606060606</v>
      </c>
      <c r="R1407" s="2">
        <v>22867</v>
      </c>
      <c r="S1407" s="301">
        <v>0.16758888066428723</v>
      </c>
      <c r="T1407" s="14">
        <v>236.96969999999999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2034</v>
      </c>
      <c r="B1408" t="s">
        <v>172</v>
      </c>
      <c r="C1408" t="s">
        <v>172</v>
      </c>
      <c r="D1408" t="s">
        <v>172</v>
      </c>
      <c r="E1408" s="2">
        <v>1266</v>
      </c>
      <c r="F1408" s="301">
        <v>2.239994338086981E-2</v>
      </c>
      <c r="G1408" s="14">
        <v>115.757575757575</v>
      </c>
      <c r="H1408" s="2">
        <v>1486</v>
      </c>
      <c r="I1408" s="301">
        <v>2.5250637213254035E-2</v>
      </c>
      <c r="J1408" s="14">
        <v>176.363632</v>
      </c>
      <c r="L1408" t="s">
        <v>172</v>
      </c>
      <c r="M1408" t="s">
        <v>172</v>
      </c>
      <c r="N1408" t="s">
        <v>172</v>
      </c>
      <c r="O1408" s="2">
        <v>5370</v>
      </c>
      <c r="P1408" s="301">
        <v>4.0393555084172042E-2</v>
      </c>
      <c r="Q1408" s="14">
        <v>72.121212121212096</v>
      </c>
      <c r="R1408" s="2">
        <v>6251</v>
      </c>
      <c r="S1408" s="301">
        <v>4.5812659860605218E-2</v>
      </c>
      <c r="T1408" s="14">
        <v>73.333335899999994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2041</v>
      </c>
      <c r="B1409" t="s">
        <v>172</v>
      </c>
      <c r="C1409" t="s">
        <v>172</v>
      </c>
      <c r="D1409" t="s">
        <v>172</v>
      </c>
      <c r="E1409" s="2">
        <v>0</v>
      </c>
      <c r="F1409" s="301">
        <v>0</v>
      </c>
      <c r="G1409" s="14">
        <v>16.969696969696901</v>
      </c>
      <c r="H1409" s="2">
        <v>32</v>
      </c>
      <c r="I1409" s="301">
        <v>5.4375531011045027E-4</v>
      </c>
      <c r="J1409" s="14">
        <v>21.212122000000001</v>
      </c>
      <c r="L1409" t="s">
        <v>172</v>
      </c>
      <c r="M1409" t="s">
        <v>172</v>
      </c>
      <c r="N1409" t="s">
        <v>172</v>
      </c>
      <c r="O1409" s="2">
        <v>169</v>
      </c>
      <c r="P1409" s="301">
        <v>1.2712310631704052E-3</v>
      </c>
      <c r="Q1409" s="14">
        <v>41.212121212121197</v>
      </c>
      <c r="R1409" s="2">
        <v>191</v>
      </c>
      <c r="S1409" s="301">
        <v>1.3998109155936005E-3</v>
      </c>
      <c r="T1409" s="14">
        <v>55.151516000000001</v>
      </c>
      <c r="V1409" t="s">
        <v>172</v>
      </c>
      <c r="W1409" t="s">
        <v>172</v>
      </c>
      <c r="X1409" t="s">
        <v>172</v>
      </c>
      <c r="Y1409" s="2">
        <v>70020</v>
      </c>
      <c r="Z1409" s="27">
        <v>2E-3</v>
      </c>
      <c r="AA1409" s="14">
        <v>1138.18</v>
      </c>
      <c r="AB1409" s="2">
        <v>81353</v>
      </c>
      <c r="AC1409" s="27">
        <v>2E-3</v>
      </c>
      <c r="AD1409" s="14">
        <v>1341.21</v>
      </c>
    </row>
    <row r="1410" spans="1:30" x14ac:dyDescent="0.3">
      <c r="A1410" t="s">
        <v>2042</v>
      </c>
      <c r="B1410" t="s">
        <v>172</v>
      </c>
      <c r="C1410" t="s">
        <v>172</v>
      </c>
      <c r="D1410" t="s">
        <v>172</v>
      </c>
      <c r="E1410" s="2">
        <v>1266</v>
      </c>
      <c r="F1410" s="301">
        <v>2.239994338086981E-2</v>
      </c>
      <c r="G1410" s="14">
        <v>115.757575757575</v>
      </c>
      <c r="H1410" s="2">
        <v>1454</v>
      </c>
      <c r="I1410" s="301">
        <v>2.4706881903143584E-2</v>
      </c>
      <c r="J1410" s="14">
        <v>178.18182400000001</v>
      </c>
      <c r="L1410" t="s">
        <v>172</v>
      </c>
      <c r="M1410" t="s">
        <v>172</v>
      </c>
      <c r="N1410" t="s">
        <v>172</v>
      </c>
      <c r="O1410" s="2">
        <v>5201</v>
      </c>
      <c r="P1410" s="301">
        <v>3.9122324021001638E-2</v>
      </c>
      <c r="Q1410" s="14">
        <v>86.060606060606005</v>
      </c>
      <c r="R1410" s="2">
        <v>6060</v>
      </c>
      <c r="S1410" s="301">
        <v>4.4412848945011615E-2</v>
      </c>
      <c r="T1410" s="14">
        <v>89.696969999999993</v>
      </c>
      <c r="V1410" t="s">
        <v>172</v>
      </c>
      <c r="W1410" t="s">
        <v>172</v>
      </c>
      <c r="X1410" t="s">
        <v>172</v>
      </c>
      <c r="Y1410" s="2">
        <v>1165960</v>
      </c>
      <c r="Z1410" s="27">
        <v>3.3000000000000002E-2</v>
      </c>
      <c r="AA1410" s="14">
        <v>1234.55</v>
      </c>
      <c r="AB1410" s="2">
        <v>1422050</v>
      </c>
      <c r="AC1410" s="27">
        <v>3.9E-2</v>
      </c>
      <c r="AD1410" s="14">
        <v>1355.15</v>
      </c>
    </row>
    <row r="1411" spans="1:30" x14ac:dyDescent="0.3">
      <c r="A1411" t="s">
        <v>2035</v>
      </c>
      <c r="B1411" t="s">
        <v>172</v>
      </c>
      <c r="C1411" t="s">
        <v>172</v>
      </c>
      <c r="D1411" t="s">
        <v>172</v>
      </c>
      <c r="E1411" s="2">
        <v>844</v>
      </c>
      <c r="F1411" s="301">
        <v>1.4933295587246541E-2</v>
      </c>
      <c r="G1411" s="14">
        <v>106.06060606060601</v>
      </c>
      <c r="H1411" s="2">
        <v>1084</v>
      </c>
      <c r="I1411" s="301">
        <v>1.8419711129991505E-2</v>
      </c>
      <c r="J1411" s="14">
        <v>144.24243200000001</v>
      </c>
      <c r="L1411" t="s">
        <v>172</v>
      </c>
      <c r="M1411" t="s">
        <v>172</v>
      </c>
      <c r="N1411" t="s">
        <v>172</v>
      </c>
      <c r="O1411" s="2">
        <v>3507</v>
      </c>
      <c r="P1411" s="301">
        <v>2.6379925080110122E-2</v>
      </c>
      <c r="Q1411" s="14">
        <v>73.3333333333333</v>
      </c>
      <c r="R1411" s="2">
        <v>3862</v>
      </c>
      <c r="S1411" s="301">
        <v>2.8304030136243375E-2</v>
      </c>
      <c r="T1411" s="14">
        <v>46.060607900000001</v>
      </c>
      <c r="V1411" t="s">
        <v>172</v>
      </c>
      <c r="W1411" t="s">
        <v>172</v>
      </c>
      <c r="X1411" t="s">
        <v>172</v>
      </c>
      <c r="Y1411" s="2">
        <v>840432</v>
      </c>
      <c r="Z1411" s="27">
        <v>2.4E-2</v>
      </c>
      <c r="AA1411" s="14">
        <v>598.17999999999995</v>
      </c>
      <c r="AB1411" s="2">
        <v>968078</v>
      </c>
      <c r="AC1411" s="27">
        <v>2.7E-2</v>
      </c>
      <c r="AD1411" s="14">
        <v>536.36</v>
      </c>
    </row>
    <row r="1412" spans="1:30" x14ac:dyDescent="0.3">
      <c r="A1412" t="s">
        <v>2041</v>
      </c>
      <c r="B1412" t="s">
        <v>172</v>
      </c>
      <c r="C1412" t="s">
        <v>172</v>
      </c>
      <c r="D1412" t="s">
        <v>172</v>
      </c>
      <c r="E1412" s="2">
        <v>90</v>
      </c>
      <c r="F1412" s="301">
        <v>1.592413036554726E-3</v>
      </c>
      <c r="G1412" s="14">
        <v>36.363636363636303</v>
      </c>
      <c r="H1412" s="2">
        <v>134</v>
      </c>
      <c r="I1412" s="301">
        <v>2.2769753610875107E-3</v>
      </c>
      <c r="J1412" s="14">
        <v>46.060607900000001</v>
      </c>
      <c r="L1412" t="s">
        <v>172</v>
      </c>
      <c r="M1412" t="s">
        <v>172</v>
      </c>
      <c r="N1412" t="s">
        <v>172</v>
      </c>
      <c r="O1412" s="2">
        <v>511</v>
      </c>
      <c r="P1412" s="301">
        <v>3.8437814986986805E-3</v>
      </c>
      <c r="Q1412" s="14">
        <v>113.333333333333</v>
      </c>
      <c r="R1412" s="2">
        <v>603</v>
      </c>
      <c r="S1412" s="301">
        <v>4.4192983356174925E-3</v>
      </c>
      <c r="T1412" s="14">
        <v>127.272728</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2042</v>
      </c>
      <c r="B1413" t="s">
        <v>172</v>
      </c>
      <c r="C1413" t="s">
        <v>172</v>
      </c>
      <c r="D1413" t="s">
        <v>172</v>
      </c>
      <c r="E1413" s="2">
        <v>754</v>
      </c>
      <c r="F1413" s="301">
        <v>1.3340882550691815E-2</v>
      </c>
      <c r="G1413" s="14">
        <v>103.030303030303</v>
      </c>
      <c r="H1413" s="2">
        <v>950</v>
      </c>
      <c r="I1413" s="301">
        <v>1.6142735768903994E-2</v>
      </c>
      <c r="J1413" s="14">
        <v>141.21212800000001</v>
      </c>
      <c r="L1413" t="s">
        <v>172</v>
      </c>
      <c r="M1413" t="s">
        <v>172</v>
      </c>
      <c r="N1413" t="s">
        <v>172</v>
      </c>
      <c r="O1413" s="2">
        <v>2996</v>
      </c>
      <c r="P1413" s="301">
        <v>2.2536143581411441E-2</v>
      </c>
      <c r="Q1413" s="14">
        <v>97.575757575757606</v>
      </c>
      <c r="R1413" s="2">
        <v>3259</v>
      </c>
      <c r="S1413" s="301">
        <v>2.3884731800625884E-2</v>
      </c>
      <c r="T1413" s="14">
        <v>144.84848</v>
      </c>
      <c r="V1413" t="s">
        <v>172</v>
      </c>
      <c r="W1413" t="s">
        <v>172</v>
      </c>
      <c r="X1413" t="s">
        <v>172</v>
      </c>
      <c r="Y1413" s="2">
        <v>722213</v>
      </c>
      <c r="Z1413" s="27">
        <v>0.02</v>
      </c>
      <c r="AA1413" s="14">
        <v>1378.18</v>
      </c>
      <c r="AB1413" s="2">
        <v>840883</v>
      </c>
      <c r="AC1413" s="27">
        <v>2.3E-2</v>
      </c>
      <c r="AD1413" s="14">
        <v>1776.97</v>
      </c>
    </row>
    <row r="1414" spans="1:30" x14ac:dyDescent="0.3">
      <c r="A1414" t="s">
        <v>2036</v>
      </c>
      <c r="B1414" t="s">
        <v>172</v>
      </c>
      <c r="C1414" t="s">
        <v>172</v>
      </c>
      <c r="D1414" t="s">
        <v>172</v>
      </c>
      <c r="E1414" s="2">
        <v>28625</v>
      </c>
      <c r="F1414" s="301">
        <v>0.50647581301532252</v>
      </c>
      <c r="G1414" s="14">
        <v>402.42424242424198</v>
      </c>
      <c r="H1414" s="2">
        <v>30199</v>
      </c>
      <c r="I1414" s="301">
        <v>0.5131520815632965</v>
      </c>
      <c r="J1414" s="14">
        <v>386.66665599999999</v>
      </c>
      <c r="L1414" t="s">
        <v>172</v>
      </c>
      <c r="M1414" t="s">
        <v>172</v>
      </c>
      <c r="N1414" t="s">
        <v>172</v>
      </c>
      <c r="O1414" s="2">
        <v>66541</v>
      </c>
      <c r="P1414" s="301">
        <v>0.50052654541078068</v>
      </c>
      <c r="Q1414" s="14">
        <v>414.54545454545399</v>
      </c>
      <c r="R1414" s="2">
        <v>70181</v>
      </c>
      <c r="S1414" s="301">
        <v>0.51434622967159405</v>
      </c>
      <c r="T1414" s="14">
        <v>289.69695999999999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2031</v>
      </c>
      <c r="B1415" t="s">
        <v>172</v>
      </c>
      <c r="C1415" t="s">
        <v>172</v>
      </c>
      <c r="D1415" t="s">
        <v>172</v>
      </c>
      <c r="E1415" s="2">
        <v>7596</v>
      </c>
      <c r="F1415" s="301">
        <v>0.13439966028521888</v>
      </c>
      <c r="G1415" s="14">
        <v>268.48484848484799</v>
      </c>
      <c r="H1415" s="2">
        <v>7773</v>
      </c>
      <c r="I1415" s="301">
        <v>0.13208156329651657</v>
      </c>
      <c r="J1415" s="14">
        <v>293.33334400000001</v>
      </c>
      <c r="L1415" t="s">
        <v>172</v>
      </c>
      <c r="M1415" t="s">
        <v>172</v>
      </c>
      <c r="N1415" t="s">
        <v>172</v>
      </c>
      <c r="O1415" s="2">
        <v>15242</v>
      </c>
      <c r="P1415" s="301">
        <v>0.11465150215883618</v>
      </c>
      <c r="Q1415" s="14">
        <v>110.90909090909</v>
      </c>
      <c r="R1415" s="2">
        <v>15518</v>
      </c>
      <c r="S1415" s="301">
        <v>0.11372914025225912</v>
      </c>
      <c r="T1415" s="14">
        <v>44.242424</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2041</v>
      </c>
      <c r="B1416" t="s">
        <v>172</v>
      </c>
      <c r="C1416" t="s">
        <v>172</v>
      </c>
      <c r="D1416" t="s">
        <v>172</v>
      </c>
      <c r="E1416" s="2">
        <v>101</v>
      </c>
      <c r="F1416" s="301">
        <v>1.7870412965780814E-3</v>
      </c>
      <c r="G1416" s="14">
        <v>45.454545454545404</v>
      </c>
      <c r="H1416" s="2">
        <v>137</v>
      </c>
      <c r="I1416" s="301">
        <v>2.3279524214103653E-3</v>
      </c>
      <c r="J1416" s="14">
        <v>60</v>
      </c>
      <c r="L1416" t="s">
        <v>172</v>
      </c>
      <c r="M1416" t="s">
        <v>172</v>
      </c>
      <c r="N1416" t="s">
        <v>172</v>
      </c>
      <c r="O1416" s="2">
        <v>351</v>
      </c>
      <c r="P1416" s="301">
        <v>2.6402491312000724E-3</v>
      </c>
      <c r="Q1416" s="14">
        <v>86.060606060606005</v>
      </c>
      <c r="R1416" s="2">
        <v>440</v>
      </c>
      <c r="S1416" s="301">
        <v>3.2246953029381373E-3</v>
      </c>
      <c r="T1416" s="14">
        <v>143.03030000000001</v>
      </c>
      <c r="V1416" t="s">
        <v>172</v>
      </c>
      <c r="W1416" t="s">
        <v>172</v>
      </c>
      <c r="X1416" t="s">
        <v>172</v>
      </c>
      <c r="Y1416" s="2">
        <v>63661</v>
      </c>
      <c r="Z1416" s="27">
        <v>2E-3</v>
      </c>
      <c r="AA1416" s="14">
        <v>1050.9100000000001</v>
      </c>
      <c r="AB1416" s="2">
        <v>70200</v>
      </c>
      <c r="AC1416" s="27">
        <v>2E-3</v>
      </c>
      <c r="AD1416" s="14">
        <v>1404.85</v>
      </c>
    </row>
    <row r="1417" spans="1:30" x14ac:dyDescent="0.3">
      <c r="A1417" t="s">
        <v>2042</v>
      </c>
      <c r="B1417" t="s">
        <v>172</v>
      </c>
      <c r="C1417" t="s">
        <v>172</v>
      </c>
      <c r="D1417" t="s">
        <v>172</v>
      </c>
      <c r="E1417" s="2">
        <v>7495</v>
      </c>
      <c r="F1417" s="301">
        <v>0.1326126189886408</v>
      </c>
      <c r="G1417" s="14">
        <v>268.48484848484799</v>
      </c>
      <c r="H1417" s="2">
        <v>7636</v>
      </c>
      <c r="I1417" s="301">
        <v>0.1297536108751062</v>
      </c>
      <c r="J1417" s="14">
        <v>299.39395100000002</v>
      </c>
      <c r="L1417" t="s">
        <v>172</v>
      </c>
      <c r="M1417" t="s">
        <v>172</v>
      </c>
      <c r="N1417" t="s">
        <v>172</v>
      </c>
      <c r="O1417" s="2">
        <v>14891</v>
      </c>
      <c r="P1417" s="301">
        <v>0.11201125302763611</v>
      </c>
      <c r="Q1417" s="14">
        <v>145.45454545454501</v>
      </c>
      <c r="R1417" s="2">
        <v>15078</v>
      </c>
      <c r="S1417" s="301">
        <v>0.11050444494932098</v>
      </c>
      <c r="T1417" s="14">
        <v>146.060608</v>
      </c>
      <c r="V1417" t="s">
        <v>172</v>
      </c>
      <c r="W1417" t="s">
        <v>172</v>
      </c>
      <c r="X1417" t="s">
        <v>172</v>
      </c>
      <c r="Y1417" s="2">
        <v>3191857</v>
      </c>
      <c r="Z1417" s="27">
        <v>0.09</v>
      </c>
      <c r="AA1417" s="14">
        <v>1185.45</v>
      </c>
      <c r="AB1417" s="2">
        <v>3129108</v>
      </c>
      <c r="AC1417" s="27">
        <v>8.5999999999999993E-2</v>
      </c>
      <c r="AD1417" s="14">
        <v>1546.06</v>
      </c>
    </row>
    <row r="1418" spans="1:30" x14ac:dyDescent="0.3">
      <c r="A1418" t="s">
        <v>2032</v>
      </c>
      <c r="B1418" t="s">
        <v>172</v>
      </c>
      <c r="C1418" t="s">
        <v>172</v>
      </c>
      <c r="D1418" t="s">
        <v>172</v>
      </c>
      <c r="E1418" s="2">
        <v>7874</v>
      </c>
      <c r="F1418" s="301">
        <v>0.13931844722035458</v>
      </c>
      <c r="G1418" s="14">
        <v>296.969696969697</v>
      </c>
      <c r="H1418" s="2">
        <v>8241</v>
      </c>
      <c r="I1418" s="301">
        <v>0.14003398470688191</v>
      </c>
      <c r="J1418" s="14">
        <v>317.57574499999998</v>
      </c>
      <c r="L1418" t="s">
        <v>172</v>
      </c>
      <c r="M1418" t="s">
        <v>172</v>
      </c>
      <c r="N1418" t="s">
        <v>172</v>
      </c>
      <c r="O1418" s="2">
        <v>16144</v>
      </c>
      <c r="P1418" s="301">
        <v>0.12143641588060959</v>
      </c>
      <c r="Q1418" s="14">
        <v>258.78787878787801</v>
      </c>
      <c r="R1418" s="2">
        <v>16979</v>
      </c>
      <c r="S1418" s="301">
        <v>0.12443659442860598</v>
      </c>
      <c r="T1418" s="14">
        <v>264.24243200000001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2041</v>
      </c>
      <c r="B1419" t="s">
        <v>172</v>
      </c>
      <c r="C1419" t="s">
        <v>172</v>
      </c>
      <c r="D1419" t="s">
        <v>172</v>
      </c>
      <c r="E1419" s="2">
        <v>180</v>
      </c>
      <c r="F1419" s="301">
        <v>3.1848260731094521E-3</v>
      </c>
      <c r="G1419" s="14">
        <v>69.090909090909093</v>
      </c>
      <c r="H1419" s="2">
        <v>262</v>
      </c>
      <c r="I1419" s="301">
        <v>4.4519966015293122E-3</v>
      </c>
      <c r="J1419" s="14">
        <v>90.303030000000007</v>
      </c>
      <c r="L1419" t="s">
        <v>172</v>
      </c>
      <c r="M1419" t="s">
        <v>172</v>
      </c>
      <c r="N1419" t="s">
        <v>172</v>
      </c>
      <c r="O1419" s="2">
        <v>315</v>
      </c>
      <c r="P1419" s="301">
        <v>2.3694543485128852E-3</v>
      </c>
      <c r="Q1419" s="14">
        <v>84.242424242424207</v>
      </c>
      <c r="R1419" s="2">
        <v>561</v>
      </c>
      <c r="S1419" s="301">
        <v>4.1114865112461246E-3</v>
      </c>
      <c r="T1419" s="14">
        <v>140</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2042</v>
      </c>
      <c r="B1420" t="s">
        <v>172</v>
      </c>
      <c r="C1420" t="s">
        <v>172</v>
      </c>
      <c r="D1420" t="s">
        <v>172</v>
      </c>
      <c r="E1420" s="2">
        <v>7694</v>
      </c>
      <c r="F1420" s="301">
        <v>0.13613362114724512</v>
      </c>
      <c r="G1420" s="14">
        <v>304.84848484848402</v>
      </c>
      <c r="H1420" s="2">
        <v>7979</v>
      </c>
      <c r="I1420" s="301">
        <v>0.1355819881053526</v>
      </c>
      <c r="J1420" s="14">
        <v>332.121216</v>
      </c>
      <c r="L1420" t="s">
        <v>172</v>
      </c>
      <c r="M1420" t="s">
        <v>172</v>
      </c>
      <c r="N1420" t="s">
        <v>172</v>
      </c>
      <c r="O1420" s="2">
        <v>15829</v>
      </c>
      <c r="P1420" s="301">
        <v>0.1190669615320967</v>
      </c>
      <c r="Q1420" s="14">
        <v>280</v>
      </c>
      <c r="R1420" s="2">
        <v>16418</v>
      </c>
      <c r="S1420" s="301">
        <v>0.12032510791735986</v>
      </c>
      <c r="T1420" s="14">
        <v>336.96969999999999</v>
      </c>
      <c r="V1420" t="s">
        <v>172</v>
      </c>
      <c r="W1420" t="s">
        <v>172</v>
      </c>
      <c r="X1420" t="s">
        <v>172</v>
      </c>
      <c r="Y1420" s="2">
        <v>4531863</v>
      </c>
      <c r="Z1420" s="27">
        <v>0.128</v>
      </c>
      <c r="AA1420" s="14">
        <v>1812.73</v>
      </c>
      <c r="AB1420" s="2">
        <v>4562791</v>
      </c>
      <c r="AC1420" s="27">
        <v>0.125</v>
      </c>
      <c r="AD1420" s="14">
        <v>1868.48</v>
      </c>
    </row>
    <row r="1421" spans="1:30" x14ac:dyDescent="0.3">
      <c r="A1421" t="s">
        <v>2033</v>
      </c>
      <c r="B1421" t="s">
        <v>172</v>
      </c>
      <c r="C1421" t="s">
        <v>172</v>
      </c>
      <c r="D1421" t="s">
        <v>172</v>
      </c>
      <c r="E1421" s="2">
        <v>10259</v>
      </c>
      <c r="F1421" s="301">
        <v>0.18151739268905481</v>
      </c>
      <c r="G1421" s="14">
        <v>305.45454545454498</v>
      </c>
      <c r="H1421" s="2">
        <v>11074</v>
      </c>
      <c r="I1421" s="301">
        <v>0.1881733220050977</v>
      </c>
      <c r="J1421" s="14">
        <v>316.36364700000001</v>
      </c>
      <c r="L1421" t="s">
        <v>172</v>
      </c>
      <c r="M1421" t="s">
        <v>172</v>
      </c>
      <c r="N1421" t="s">
        <v>172</v>
      </c>
      <c r="O1421" s="2">
        <v>25488</v>
      </c>
      <c r="P1421" s="301">
        <v>0.19172270614252832</v>
      </c>
      <c r="Q1421" s="14">
        <v>240</v>
      </c>
      <c r="R1421" s="2">
        <v>26502</v>
      </c>
      <c r="S1421" s="301">
        <v>0.19422926117833297</v>
      </c>
      <c r="T1421" s="14">
        <v>275.15152</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2041</v>
      </c>
      <c r="B1422" t="s">
        <v>172</v>
      </c>
      <c r="C1422" t="s">
        <v>172</v>
      </c>
      <c r="D1422" t="s">
        <v>172</v>
      </c>
      <c r="E1422" s="2">
        <v>530</v>
      </c>
      <c r="F1422" s="301">
        <v>9.3775434374889412E-3</v>
      </c>
      <c r="G1422" s="14">
        <v>118.787878787878</v>
      </c>
      <c r="H1422" s="2">
        <v>691</v>
      </c>
      <c r="I1422" s="301">
        <v>1.1741716227697535E-2</v>
      </c>
      <c r="J1422" s="14">
        <v>154.545456</v>
      </c>
      <c r="L1422" t="s">
        <v>172</v>
      </c>
      <c r="M1422" t="s">
        <v>172</v>
      </c>
      <c r="N1422" t="s">
        <v>172</v>
      </c>
      <c r="O1422" s="2">
        <v>1199</v>
      </c>
      <c r="P1422" s="301">
        <v>9.0189706789426966E-3</v>
      </c>
      <c r="Q1422" s="14">
        <v>154.54545454545399</v>
      </c>
      <c r="R1422" s="2">
        <v>1253</v>
      </c>
      <c r="S1422" s="301">
        <v>9.1830527604124679E-3</v>
      </c>
      <c r="T1422" s="14">
        <v>236.96969999999999</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2042</v>
      </c>
      <c r="B1423" t="s">
        <v>172</v>
      </c>
      <c r="C1423" t="s">
        <v>172</v>
      </c>
      <c r="D1423" t="s">
        <v>172</v>
      </c>
      <c r="E1423" s="2">
        <v>9729</v>
      </c>
      <c r="F1423" s="301">
        <v>0.17213984925156586</v>
      </c>
      <c r="G1423" s="14">
        <v>300</v>
      </c>
      <c r="H1423" s="2">
        <v>10383</v>
      </c>
      <c r="I1423" s="301">
        <v>0.17643160577740016</v>
      </c>
      <c r="J1423" s="14">
        <v>338.78787199999999</v>
      </c>
      <c r="L1423" t="s">
        <v>172</v>
      </c>
      <c r="M1423" t="s">
        <v>172</v>
      </c>
      <c r="N1423" t="s">
        <v>172</v>
      </c>
      <c r="O1423" s="2">
        <v>24289</v>
      </c>
      <c r="P1423" s="301">
        <v>0.18270373546358562</v>
      </c>
      <c r="Q1423" s="14">
        <v>287.27272727272702</v>
      </c>
      <c r="R1423" s="2">
        <v>25249</v>
      </c>
      <c r="S1423" s="301">
        <v>0.18504620841792052</v>
      </c>
      <c r="T1423" s="14">
        <v>347.878784</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2034</v>
      </c>
      <c r="B1424" t="s">
        <v>172</v>
      </c>
      <c r="C1424" t="s">
        <v>172</v>
      </c>
      <c r="D1424" t="s">
        <v>172</v>
      </c>
      <c r="E1424" s="2">
        <v>1589</v>
      </c>
      <c r="F1424" s="301">
        <v>2.8114936834282882E-2</v>
      </c>
      <c r="G1424" s="14">
        <v>106.666666666666</v>
      </c>
      <c r="H1424" s="2">
        <v>1695</v>
      </c>
      <c r="I1424" s="301">
        <v>2.8802039082412915E-2</v>
      </c>
      <c r="J1424" s="14">
        <v>136.96969999999999</v>
      </c>
      <c r="L1424" t="s">
        <v>172</v>
      </c>
      <c r="M1424" t="s">
        <v>172</v>
      </c>
      <c r="N1424" t="s">
        <v>172</v>
      </c>
      <c r="O1424" s="2">
        <v>5649</v>
      </c>
      <c r="P1424" s="301">
        <v>4.2492214649997744E-2</v>
      </c>
      <c r="Q1424" s="14">
        <v>78.181818181818201</v>
      </c>
      <c r="R1424" s="2">
        <v>6649</v>
      </c>
      <c r="S1424" s="301">
        <v>4.8729543339171989E-2</v>
      </c>
      <c r="T1424" s="14">
        <v>96.969695999999999</v>
      </c>
      <c r="V1424" t="s">
        <v>172</v>
      </c>
      <c r="W1424" t="s">
        <v>172</v>
      </c>
      <c r="X1424" t="s">
        <v>172</v>
      </c>
      <c r="Y1424" s="2">
        <v>1427224</v>
      </c>
      <c r="Z1424" s="27">
        <v>0.04</v>
      </c>
      <c r="AA1424" s="14">
        <v>443.64</v>
      </c>
      <c r="AB1424" s="2">
        <v>1735473</v>
      </c>
      <c r="AC1424" s="27">
        <v>4.8000000000000001E-2</v>
      </c>
      <c r="AD1424" s="14">
        <v>575.76</v>
      </c>
    </row>
    <row r="1425" spans="1:31" x14ac:dyDescent="0.3">
      <c r="A1425" t="s">
        <v>2041</v>
      </c>
      <c r="B1425" t="s">
        <v>172</v>
      </c>
      <c r="C1425" t="s">
        <v>172</v>
      </c>
      <c r="D1425" t="s">
        <v>172</v>
      </c>
      <c r="E1425" s="2">
        <v>156</v>
      </c>
      <c r="F1425" s="301">
        <v>2.7601825966948584E-3</v>
      </c>
      <c r="G1425" s="14">
        <v>54.545454545454497</v>
      </c>
      <c r="H1425" s="2">
        <v>162</v>
      </c>
      <c r="I1425" s="301">
        <v>2.7527612574341546E-3</v>
      </c>
      <c r="J1425" s="14">
        <v>73.333335899999994</v>
      </c>
      <c r="L1425" t="s">
        <v>172</v>
      </c>
      <c r="M1425" t="s">
        <v>172</v>
      </c>
      <c r="N1425" t="s">
        <v>172</v>
      </c>
      <c r="O1425" s="2">
        <v>334</v>
      </c>
      <c r="P1425" s="301">
        <v>2.512373817153345E-3</v>
      </c>
      <c r="Q1425" s="14">
        <v>65.454545454545396</v>
      </c>
      <c r="R1425" s="2">
        <v>295</v>
      </c>
      <c r="S1425" s="301">
        <v>2.1620116235607965E-3</v>
      </c>
      <c r="T1425" s="14">
        <v>72.727270000000004</v>
      </c>
      <c r="V1425" t="s">
        <v>172</v>
      </c>
      <c r="W1425" t="s">
        <v>172</v>
      </c>
      <c r="X1425" t="s">
        <v>172</v>
      </c>
      <c r="Y1425" s="2">
        <v>80853</v>
      </c>
      <c r="Z1425" s="27">
        <v>2E-3</v>
      </c>
      <c r="AA1425" s="14">
        <v>1152.73</v>
      </c>
      <c r="AB1425" s="2">
        <v>87967</v>
      </c>
      <c r="AC1425" s="27">
        <v>2E-3</v>
      </c>
      <c r="AD1425" s="14">
        <v>1367.27</v>
      </c>
    </row>
    <row r="1426" spans="1:31" x14ac:dyDescent="0.3">
      <c r="A1426" t="s">
        <v>2042</v>
      </c>
      <c r="B1426" t="s">
        <v>172</v>
      </c>
      <c r="C1426" t="s">
        <v>172</v>
      </c>
      <c r="D1426" t="s">
        <v>172</v>
      </c>
      <c r="E1426" s="2">
        <v>1433</v>
      </c>
      <c r="F1426" s="301">
        <v>2.5354754237588026E-2</v>
      </c>
      <c r="G1426" s="14">
        <v>101.818181818181</v>
      </c>
      <c r="H1426" s="2">
        <v>1533</v>
      </c>
      <c r="I1426" s="301">
        <v>2.6049277824978758E-2</v>
      </c>
      <c r="J1426" s="14">
        <v>134.545456</v>
      </c>
      <c r="L1426" t="s">
        <v>172</v>
      </c>
      <c r="M1426" t="s">
        <v>172</v>
      </c>
      <c r="N1426" t="s">
        <v>172</v>
      </c>
      <c r="O1426" s="2">
        <v>5315</v>
      </c>
      <c r="P1426" s="301">
        <v>3.99798408328444E-2</v>
      </c>
      <c r="Q1426" s="14">
        <v>106.06060606060601</v>
      </c>
      <c r="R1426" s="2">
        <v>6354</v>
      </c>
      <c r="S1426" s="301">
        <v>4.6567531715611191E-2</v>
      </c>
      <c r="T1426" s="14">
        <v>118.181816</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2035</v>
      </c>
      <c r="B1427" t="s">
        <v>172</v>
      </c>
      <c r="C1427" t="s">
        <v>172</v>
      </c>
      <c r="D1427" t="s">
        <v>172</v>
      </c>
      <c r="E1427" s="2">
        <v>1307</v>
      </c>
      <c r="F1427" s="301">
        <v>2.3125375986411408E-2</v>
      </c>
      <c r="G1427" s="14">
        <v>143.030303030303</v>
      </c>
      <c r="H1427" s="2">
        <v>1416</v>
      </c>
      <c r="I1427" s="301">
        <v>2.4061172472387427E-2</v>
      </c>
      <c r="J1427" s="14">
        <v>143.636368</v>
      </c>
      <c r="L1427" t="s">
        <v>172</v>
      </c>
      <c r="M1427" t="s">
        <v>172</v>
      </c>
      <c r="N1427" t="s">
        <v>172</v>
      </c>
      <c r="O1427" s="2">
        <v>4018</v>
      </c>
      <c r="P1427" s="301">
        <v>3.0223706578808802E-2</v>
      </c>
      <c r="Q1427" s="14">
        <v>87.878787878787904</v>
      </c>
      <c r="R1427" s="2">
        <v>4533</v>
      </c>
      <c r="S1427" s="301">
        <v>3.3221690473224035E-2</v>
      </c>
      <c r="T1427" s="14">
        <v>89.090909999999994</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2041</v>
      </c>
      <c r="B1428" t="s">
        <v>172</v>
      </c>
      <c r="C1428" t="s">
        <v>172</v>
      </c>
      <c r="D1428" t="s">
        <v>172</v>
      </c>
      <c r="E1428" s="2">
        <v>316</v>
      </c>
      <c r="F1428" s="301">
        <v>5.5911391061254818E-3</v>
      </c>
      <c r="G1428" s="14">
        <v>89.696969696969703</v>
      </c>
      <c r="H1428" s="2">
        <v>300</v>
      </c>
      <c r="I1428" s="301">
        <v>5.0977060322854716E-3</v>
      </c>
      <c r="J1428" s="14">
        <v>64.848489999999998</v>
      </c>
      <c r="L1428" t="s">
        <v>172</v>
      </c>
      <c r="M1428" t="s">
        <v>172</v>
      </c>
      <c r="N1428" t="s">
        <v>172</v>
      </c>
      <c r="O1428" s="2">
        <v>667</v>
      </c>
      <c r="P1428" s="301">
        <v>5.0172255570098238E-3</v>
      </c>
      <c r="Q1428" s="14">
        <v>96.363636363636402</v>
      </c>
      <c r="R1428" s="2">
        <v>633</v>
      </c>
      <c r="S1428" s="301">
        <v>4.6391639244541833E-3</v>
      </c>
      <c r="T1428" s="14">
        <v>103.030304</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2042</v>
      </c>
      <c r="B1429" t="s">
        <v>172</v>
      </c>
      <c r="C1429" t="s">
        <v>172</v>
      </c>
      <c r="D1429" t="s">
        <v>172</v>
      </c>
      <c r="E1429" s="2">
        <v>991</v>
      </c>
      <c r="F1429" s="301">
        <v>1.7534236880285926E-2</v>
      </c>
      <c r="G1429" s="14">
        <v>121.818181818181</v>
      </c>
      <c r="H1429" s="2">
        <v>1116</v>
      </c>
      <c r="I1429" s="301">
        <v>1.8963466440101953E-2</v>
      </c>
      <c r="J1429" s="14">
        <v>138.78787199999999</v>
      </c>
      <c r="L1429" t="s">
        <v>172</v>
      </c>
      <c r="M1429" t="s">
        <v>172</v>
      </c>
      <c r="N1429" t="s">
        <v>172</v>
      </c>
      <c r="O1429" s="2">
        <v>3351</v>
      </c>
      <c r="P1429" s="301">
        <v>2.5206481021798979E-2</v>
      </c>
      <c r="Q1429" s="14">
        <v>129.69696969696901</v>
      </c>
      <c r="R1429" s="2">
        <v>3900</v>
      </c>
      <c r="S1429" s="301">
        <v>2.8582526548769853E-2</v>
      </c>
      <c r="T1429" s="14">
        <v>135.75756799999999</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2043</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172</v>
      </c>
      <c r="C1432" t="s">
        <v>172</v>
      </c>
      <c r="D1432" t="s">
        <v>172</v>
      </c>
      <c r="E1432" s="304" t="s">
        <v>1706</v>
      </c>
      <c r="F1432" s="304"/>
      <c r="G1432" s="304" t="s">
        <v>1707</v>
      </c>
      <c r="H1432" s="304" t="s">
        <v>1706</v>
      </c>
      <c r="I1432" s="304"/>
      <c r="J1432" s="304" t="s">
        <v>1707</v>
      </c>
      <c r="K1432" t="s">
        <v>172</v>
      </c>
      <c r="L1432" t="s">
        <v>172</v>
      </c>
      <c r="M1432" t="s">
        <v>172</v>
      </c>
      <c r="N1432" t="s">
        <v>172</v>
      </c>
      <c r="O1432" s="304" t="s">
        <v>1706</v>
      </c>
      <c r="P1432" s="304"/>
      <c r="Q1432" s="304" t="s">
        <v>1707</v>
      </c>
      <c r="R1432" s="304" t="s">
        <v>1706</v>
      </c>
      <c r="S1432" s="304"/>
      <c r="T1432" s="304" t="s">
        <v>1707</v>
      </c>
      <c r="U1432" t="s">
        <v>172</v>
      </c>
      <c r="V1432" t="s">
        <v>172</v>
      </c>
      <c r="W1432" t="s">
        <v>172</v>
      </c>
      <c r="X1432" t="s">
        <v>172</v>
      </c>
      <c r="Y1432" s="207" t="s">
        <v>1706</v>
      </c>
      <c r="Z1432" s="207"/>
      <c r="AA1432" s="207" t="s">
        <v>1707</v>
      </c>
      <c r="AB1432" s="207" t="s">
        <v>1706</v>
      </c>
      <c r="AC1432" s="207"/>
      <c r="AD1432" s="207" t="s">
        <v>1707</v>
      </c>
      <c r="AE1432" t="s">
        <v>172</v>
      </c>
    </row>
    <row r="1433" spans="1:31" x14ac:dyDescent="0.3">
      <c r="A1433" t="s">
        <v>174</v>
      </c>
      <c r="B1433" t="s">
        <v>172</v>
      </c>
      <c r="C1433" t="s">
        <v>172</v>
      </c>
      <c r="D1433" t="s">
        <v>172</v>
      </c>
      <c r="E1433" s="2">
        <v>56518</v>
      </c>
      <c r="F1433" t="s">
        <v>172</v>
      </c>
      <c r="G1433" s="14">
        <v>296.969696969697</v>
      </c>
      <c r="H1433" s="2">
        <v>58850</v>
      </c>
      <c r="I1433" t="s">
        <v>172</v>
      </c>
      <c r="J1433" s="14">
        <v>313.33334400000001</v>
      </c>
      <c r="L1433" t="s">
        <v>172</v>
      </c>
      <c r="M1433" t="s">
        <v>172</v>
      </c>
      <c r="N1433" t="s">
        <v>172</v>
      </c>
      <c r="O1433" s="2">
        <v>132942</v>
      </c>
      <c r="P1433" t="s">
        <v>172</v>
      </c>
      <c r="Q1433" s="14">
        <v>403.030303030303</v>
      </c>
      <c r="R1433" s="2">
        <v>136447</v>
      </c>
      <c r="S1433" t="s">
        <v>172</v>
      </c>
      <c r="T1433" s="14">
        <v>342.42425500000002</v>
      </c>
      <c r="V1433" t="s">
        <v>172</v>
      </c>
      <c r="W1433" t="s">
        <v>172</v>
      </c>
      <c r="X1433" t="s">
        <v>172</v>
      </c>
      <c r="Y1433" s="2">
        <v>35400693</v>
      </c>
      <c r="Z1433" s="27" t="s">
        <v>172</v>
      </c>
      <c r="AA1433" s="14">
        <v>1443.03</v>
      </c>
      <c r="AB1433" s="2">
        <v>36429855</v>
      </c>
      <c r="AC1433" s="27" t="s">
        <v>172</v>
      </c>
      <c r="AD1433" s="14">
        <v>1813.33</v>
      </c>
    </row>
    <row r="1434" spans="1:31" x14ac:dyDescent="0.3">
      <c r="A1434" t="s">
        <v>2028</v>
      </c>
      <c r="B1434" t="s">
        <v>172</v>
      </c>
      <c r="C1434" t="s">
        <v>172</v>
      </c>
      <c r="D1434" t="s">
        <v>172</v>
      </c>
      <c r="E1434" s="2">
        <v>27893</v>
      </c>
      <c r="F1434" s="301">
        <v>0.49352418698467743</v>
      </c>
      <c r="G1434" s="14">
        <v>360</v>
      </c>
      <c r="H1434" s="2">
        <v>28651</v>
      </c>
      <c r="I1434" s="301">
        <v>0.4868479184367035</v>
      </c>
      <c r="J1434" s="14">
        <v>412.72726399999999</v>
      </c>
      <c r="L1434" t="s">
        <v>172</v>
      </c>
      <c r="M1434" t="s">
        <v>172</v>
      </c>
      <c r="N1434" t="s">
        <v>172</v>
      </c>
      <c r="O1434" s="2">
        <v>66401</v>
      </c>
      <c r="P1434" s="301">
        <v>0.49947345458921938</v>
      </c>
      <c r="Q1434" s="14">
        <v>252.12121212121201</v>
      </c>
      <c r="R1434" s="2">
        <v>66266</v>
      </c>
      <c r="S1434" s="301">
        <v>0.4856537703284059</v>
      </c>
      <c r="T1434" s="14">
        <v>242.42424</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2031</v>
      </c>
      <c r="B1435" t="s">
        <v>172</v>
      </c>
      <c r="C1435" t="s">
        <v>172</v>
      </c>
      <c r="D1435" t="s">
        <v>172</v>
      </c>
      <c r="E1435" s="2">
        <v>7590</v>
      </c>
      <c r="F1435" s="301">
        <v>0.13429349941611521</v>
      </c>
      <c r="G1435" s="14">
        <v>269.69696969696901</v>
      </c>
      <c r="H1435" s="2">
        <v>7938</v>
      </c>
      <c r="I1435" s="301">
        <v>0.13488530161427359</v>
      </c>
      <c r="J1435" s="14">
        <v>257.57574499999998</v>
      </c>
      <c r="L1435" t="s">
        <v>172</v>
      </c>
      <c r="M1435" t="s">
        <v>172</v>
      </c>
      <c r="N1435" t="s">
        <v>172</v>
      </c>
      <c r="O1435" s="2">
        <v>15721</v>
      </c>
      <c r="P1435" s="301">
        <v>0.11825457718403515</v>
      </c>
      <c r="Q1435" s="14">
        <v>135.15151515151501</v>
      </c>
      <c r="R1435" s="2">
        <v>15821</v>
      </c>
      <c r="S1435" s="301">
        <v>0.1159497826995097</v>
      </c>
      <c r="T1435" s="14">
        <v>87.878784199999998</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2044</v>
      </c>
      <c r="B1436" t="s">
        <v>172</v>
      </c>
      <c r="C1436" t="s">
        <v>172</v>
      </c>
      <c r="D1436" t="s">
        <v>172</v>
      </c>
      <c r="E1436" s="2">
        <v>35</v>
      </c>
      <c r="F1436" s="301">
        <v>6.1927173643794894E-4</v>
      </c>
      <c r="G1436" s="14">
        <v>24.848484848484802</v>
      </c>
      <c r="H1436" s="2">
        <v>0</v>
      </c>
      <c r="I1436" s="301">
        <v>0</v>
      </c>
      <c r="J1436" s="14">
        <v>18.787877999999999</v>
      </c>
      <c r="L1436" t="s">
        <v>172</v>
      </c>
      <c r="M1436" t="s">
        <v>172</v>
      </c>
      <c r="N1436" t="s">
        <v>172</v>
      </c>
      <c r="O1436" s="2">
        <v>68</v>
      </c>
      <c r="P1436" s="301">
        <v>5.1150125618690853E-4</v>
      </c>
      <c r="Q1436" s="14">
        <v>29.696969696969699</v>
      </c>
      <c r="R1436" s="2">
        <v>8</v>
      </c>
      <c r="S1436" s="301">
        <v>5.8630823689784314E-5</v>
      </c>
      <c r="T1436" s="14">
        <v>8.4848479999999995</v>
      </c>
      <c r="V1436" t="s">
        <v>172</v>
      </c>
      <c r="W1436" t="s">
        <v>172</v>
      </c>
      <c r="X1436" t="s">
        <v>172</v>
      </c>
      <c r="Y1436" s="2">
        <v>22047</v>
      </c>
      <c r="Z1436" s="27">
        <v>1E-3</v>
      </c>
      <c r="AA1436" s="14">
        <v>593.33000000000004</v>
      </c>
      <c r="AB1436" s="2">
        <v>19163</v>
      </c>
      <c r="AC1436" s="27">
        <v>1E-3</v>
      </c>
      <c r="AD1436" s="14">
        <v>643.03</v>
      </c>
    </row>
    <row r="1437" spans="1:31" x14ac:dyDescent="0.3">
      <c r="A1437" t="s">
        <v>2045</v>
      </c>
      <c r="B1437" t="s">
        <v>172</v>
      </c>
      <c r="C1437" t="s">
        <v>172</v>
      </c>
      <c r="D1437" t="s">
        <v>172</v>
      </c>
      <c r="E1437" s="2">
        <v>7555</v>
      </c>
      <c r="F1437" s="301">
        <v>0.13367422767967727</v>
      </c>
      <c r="G1437" s="14">
        <v>276.36363636363598</v>
      </c>
      <c r="H1437" s="2">
        <v>7938</v>
      </c>
      <c r="I1437" s="301">
        <v>0.13488530161427359</v>
      </c>
      <c r="J1437" s="14">
        <v>257.57574499999998</v>
      </c>
      <c r="L1437" t="s">
        <v>172</v>
      </c>
      <c r="M1437" t="s">
        <v>172</v>
      </c>
      <c r="N1437" t="s">
        <v>172</v>
      </c>
      <c r="O1437" s="2">
        <v>15653</v>
      </c>
      <c r="P1437" s="301">
        <v>0.11774307592784823</v>
      </c>
      <c r="Q1437" s="14">
        <v>139.39393939393901</v>
      </c>
      <c r="R1437" s="2">
        <v>15813</v>
      </c>
      <c r="S1437" s="301">
        <v>0.11589115187581991</v>
      </c>
      <c r="T1437" s="14">
        <v>88.484849999999994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2032</v>
      </c>
      <c r="B1438" t="s">
        <v>172</v>
      </c>
      <c r="C1438" t="s">
        <v>172</v>
      </c>
      <c r="D1438" t="s">
        <v>172</v>
      </c>
      <c r="E1438" s="2">
        <v>8632</v>
      </c>
      <c r="F1438" s="301">
        <v>0.15273010368378215</v>
      </c>
      <c r="G1438" s="14">
        <v>309.09090909090901</v>
      </c>
      <c r="H1438" s="2">
        <v>8351</v>
      </c>
      <c r="I1438" s="301">
        <v>0.14190314358538658</v>
      </c>
      <c r="J1438" s="14">
        <v>294.54544099999998</v>
      </c>
      <c r="L1438" t="s">
        <v>172</v>
      </c>
      <c r="M1438" t="s">
        <v>172</v>
      </c>
      <c r="N1438" t="s">
        <v>172</v>
      </c>
      <c r="O1438" s="2">
        <v>17134</v>
      </c>
      <c r="P1438" s="301">
        <v>0.12888327240450723</v>
      </c>
      <c r="Q1438" s="14">
        <v>133.939393939393</v>
      </c>
      <c r="R1438" s="2">
        <v>16548</v>
      </c>
      <c r="S1438" s="301">
        <v>0.12127785880231885</v>
      </c>
      <c r="T1438" s="14">
        <v>134.545456</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2044</v>
      </c>
      <c r="B1439" t="s">
        <v>172</v>
      </c>
      <c r="C1439" t="s">
        <v>172</v>
      </c>
      <c r="D1439" t="s">
        <v>172</v>
      </c>
      <c r="E1439" s="2">
        <v>119</v>
      </c>
      <c r="F1439" s="301">
        <v>2.1055239038890263E-3</v>
      </c>
      <c r="G1439" s="14">
        <v>50.909090909090899</v>
      </c>
      <c r="H1439" s="2">
        <v>254</v>
      </c>
      <c r="I1439" s="301">
        <v>4.3160577740016994E-3</v>
      </c>
      <c r="J1439" s="14">
        <v>97.575760000000002</v>
      </c>
      <c r="L1439" t="s">
        <v>172</v>
      </c>
      <c r="M1439" t="s">
        <v>172</v>
      </c>
      <c r="N1439" t="s">
        <v>172</v>
      </c>
      <c r="O1439" s="2">
        <v>290</v>
      </c>
      <c r="P1439" s="301">
        <v>2.1814024160912277E-3</v>
      </c>
      <c r="Q1439" s="14">
        <v>70.303030303030297</v>
      </c>
      <c r="R1439" s="2">
        <v>300</v>
      </c>
      <c r="S1439" s="301">
        <v>2.1986558883669116E-3</v>
      </c>
      <c r="T1439" s="14">
        <v>98.181816100000006</v>
      </c>
      <c r="V1439" t="s">
        <v>172</v>
      </c>
      <c r="W1439" t="s">
        <v>172</v>
      </c>
      <c r="X1439" t="s">
        <v>172</v>
      </c>
      <c r="Y1439" s="2">
        <v>56000</v>
      </c>
      <c r="Z1439" s="27">
        <v>2E-3</v>
      </c>
      <c r="AA1439" s="14">
        <v>1068.48</v>
      </c>
      <c r="AB1439" s="2">
        <v>52801</v>
      </c>
      <c r="AC1439" s="27">
        <v>1E-3</v>
      </c>
      <c r="AD1439" s="14">
        <v>1286.67</v>
      </c>
    </row>
    <row r="1440" spans="1:31" x14ac:dyDescent="0.3">
      <c r="A1440" t="s">
        <v>2045</v>
      </c>
      <c r="B1440" t="s">
        <v>172</v>
      </c>
      <c r="C1440" t="s">
        <v>172</v>
      </c>
      <c r="D1440" t="s">
        <v>172</v>
      </c>
      <c r="E1440" s="2">
        <v>8513</v>
      </c>
      <c r="F1440" s="301">
        <v>0.15062457977989313</v>
      </c>
      <c r="G1440" s="14">
        <v>305.45454545454498</v>
      </c>
      <c r="H1440" s="2">
        <v>8097</v>
      </c>
      <c r="I1440" s="301">
        <v>0.13758708581138487</v>
      </c>
      <c r="J1440" s="14">
        <v>304.24243200000001</v>
      </c>
      <c r="L1440" t="s">
        <v>172</v>
      </c>
      <c r="M1440" t="s">
        <v>172</v>
      </c>
      <c r="N1440" t="s">
        <v>172</v>
      </c>
      <c r="O1440" s="2">
        <v>16844</v>
      </c>
      <c r="P1440" s="301">
        <v>0.12670186998841601</v>
      </c>
      <c r="Q1440" s="14">
        <v>155.15151515151501</v>
      </c>
      <c r="R1440" s="2">
        <v>16248</v>
      </c>
      <c r="S1440" s="301">
        <v>0.11907920291395194</v>
      </c>
      <c r="T1440" s="14">
        <v>167.878784</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2033</v>
      </c>
      <c r="B1441" t="s">
        <v>172</v>
      </c>
      <c r="C1441" t="s">
        <v>172</v>
      </c>
      <c r="D1441" t="s">
        <v>172</v>
      </c>
      <c r="E1441" s="2">
        <v>9561</v>
      </c>
      <c r="F1441" s="301">
        <v>0.16916734491666371</v>
      </c>
      <c r="G1441" s="14">
        <v>252.12121212121201</v>
      </c>
      <c r="H1441" s="2">
        <v>9792</v>
      </c>
      <c r="I1441" s="301">
        <v>0.16638912489379779</v>
      </c>
      <c r="J1441" s="14">
        <v>298.18182400000001</v>
      </c>
      <c r="L1441" t="s">
        <v>172</v>
      </c>
      <c r="M1441" t="s">
        <v>172</v>
      </c>
      <c r="N1441" t="s">
        <v>172</v>
      </c>
      <c r="O1441" s="2">
        <v>24669</v>
      </c>
      <c r="P1441" s="301">
        <v>0.18556212483639481</v>
      </c>
      <c r="Q1441" s="14">
        <v>168.48484848484799</v>
      </c>
      <c r="R1441" s="2">
        <v>23784</v>
      </c>
      <c r="S1441" s="301">
        <v>0.17430943882972877</v>
      </c>
      <c r="T1441" s="14">
        <v>184.24243200000001</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2044</v>
      </c>
      <c r="B1442" t="s">
        <v>172</v>
      </c>
      <c r="C1442" t="s">
        <v>172</v>
      </c>
      <c r="D1442" t="s">
        <v>172</v>
      </c>
      <c r="E1442" s="2">
        <v>703</v>
      </c>
      <c r="F1442" s="301">
        <v>1.2438515163310803E-2</v>
      </c>
      <c r="G1442" s="14">
        <v>104.24242424242399</v>
      </c>
      <c r="H1442" s="2">
        <v>455</v>
      </c>
      <c r="I1442" s="301">
        <v>7.7315208156329652E-3</v>
      </c>
      <c r="J1442" s="14">
        <v>117.57576</v>
      </c>
      <c r="L1442" t="s">
        <v>172</v>
      </c>
      <c r="M1442" t="s">
        <v>172</v>
      </c>
      <c r="N1442" t="s">
        <v>172</v>
      </c>
      <c r="O1442" s="2">
        <v>1859</v>
      </c>
      <c r="P1442" s="301">
        <v>1.3983541694874457E-2</v>
      </c>
      <c r="Q1442" s="14">
        <v>173.333333333333</v>
      </c>
      <c r="R1442" s="2">
        <v>1532</v>
      </c>
      <c r="S1442" s="301">
        <v>1.1227802736593696E-2</v>
      </c>
      <c r="T1442" s="14">
        <v>225.454544</v>
      </c>
      <c r="V1442" t="s">
        <v>172</v>
      </c>
      <c r="W1442" t="s">
        <v>172</v>
      </c>
      <c r="X1442" t="s">
        <v>172</v>
      </c>
      <c r="Y1442" s="2">
        <v>370293</v>
      </c>
      <c r="Z1442" s="27">
        <v>0.01</v>
      </c>
      <c r="AA1442" s="14">
        <v>2784.85</v>
      </c>
      <c r="AB1442" s="2">
        <v>339017</v>
      </c>
      <c r="AC1442" s="27">
        <v>8.9999999999999993E-3</v>
      </c>
      <c r="AD1442" s="14">
        <v>2884.24</v>
      </c>
    </row>
    <row r="1443" spans="1:30" x14ac:dyDescent="0.3">
      <c r="A1443" t="s">
        <v>2045</v>
      </c>
      <c r="B1443" t="s">
        <v>172</v>
      </c>
      <c r="C1443" t="s">
        <v>172</v>
      </c>
      <c r="D1443" t="s">
        <v>172</v>
      </c>
      <c r="E1443" s="2">
        <v>8858</v>
      </c>
      <c r="F1443" s="301">
        <v>0.15672882975335292</v>
      </c>
      <c r="G1443" s="14">
        <v>243.636363636363</v>
      </c>
      <c r="H1443" s="2">
        <v>9337</v>
      </c>
      <c r="I1443" s="301">
        <v>0.15865760407816482</v>
      </c>
      <c r="J1443" s="14">
        <v>306.66665599999999</v>
      </c>
      <c r="L1443" t="s">
        <v>172</v>
      </c>
      <c r="M1443" t="s">
        <v>172</v>
      </c>
      <c r="N1443" t="s">
        <v>172</v>
      </c>
      <c r="O1443" s="2">
        <v>22810</v>
      </c>
      <c r="P1443" s="301">
        <v>0.17157858314152036</v>
      </c>
      <c r="Q1443" s="14">
        <v>205.45454545454501</v>
      </c>
      <c r="R1443" s="2">
        <v>22252</v>
      </c>
      <c r="S1443" s="301">
        <v>0.16308163609313506</v>
      </c>
      <c r="T1443" s="14">
        <v>286.66665599999999</v>
      </c>
      <c r="V1443" t="s">
        <v>172</v>
      </c>
      <c r="W1443" t="s">
        <v>172</v>
      </c>
      <c r="X1443" t="s">
        <v>172</v>
      </c>
      <c r="Y1443" s="2">
        <v>6824853</v>
      </c>
      <c r="Z1443" s="27">
        <v>0.193</v>
      </c>
      <c r="AA1443" s="14">
        <v>2907.27</v>
      </c>
      <c r="AB1443" s="2">
        <v>6970430</v>
      </c>
      <c r="AC1443" s="27">
        <v>0.191</v>
      </c>
      <c r="AD1443" s="14">
        <v>3454.55</v>
      </c>
    </row>
    <row r="1444" spans="1:30" x14ac:dyDescent="0.3">
      <c r="A1444" t="s">
        <v>2034</v>
      </c>
      <c r="B1444" t="s">
        <v>172</v>
      </c>
      <c r="C1444" t="s">
        <v>172</v>
      </c>
      <c r="D1444" t="s">
        <v>172</v>
      </c>
      <c r="E1444" s="2">
        <v>1266</v>
      </c>
      <c r="F1444" s="301">
        <v>2.239994338086981E-2</v>
      </c>
      <c r="G1444" s="14">
        <v>115.757575757575</v>
      </c>
      <c r="H1444" s="2">
        <v>1486</v>
      </c>
      <c r="I1444" s="301">
        <v>2.5250637213254035E-2</v>
      </c>
      <c r="J1444" s="14">
        <v>176.363632</v>
      </c>
      <c r="L1444" t="s">
        <v>172</v>
      </c>
      <c r="M1444" t="s">
        <v>172</v>
      </c>
      <c r="N1444" t="s">
        <v>172</v>
      </c>
      <c r="O1444" s="2">
        <v>5370</v>
      </c>
      <c r="P1444" s="301">
        <v>4.0393555084172042E-2</v>
      </c>
      <c r="Q1444" s="14">
        <v>72.121212121212096</v>
      </c>
      <c r="R1444" s="2">
        <v>6251</v>
      </c>
      <c r="S1444" s="301">
        <v>4.5812659860605218E-2</v>
      </c>
      <c r="T1444" s="14">
        <v>73.333335899999994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2044</v>
      </c>
      <c r="B1445" t="s">
        <v>172</v>
      </c>
      <c r="C1445" t="s">
        <v>172</v>
      </c>
      <c r="D1445" t="s">
        <v>172</v>
      </c>
      <c r="E1445" s="2">
        <v>223</v>
      </c>
      <c r="F1445" s="301">
        <v>3.9456456350189318E-3</v>
      </c>
      <c r="G1445" s="2">
        <v>61.212121212121197</v>
      </c>
      <c r="H1445" s="2">
        <v>229</v>
      </c>
      <c r="I1445" s="301">
        <v>3.8912489379779101E-3</v>
      </c>
      <c r="J1445" s="14">
        <v>73.333335899999994</v>
      </c>
      <c r="L1445" t="s">
        <v>172</v>
      </c>
      <c r="M1445" t="s">
        <v>172</v>
      </c>
      <c r="N1445" t="s">
        <v>172</v>
      </c>
      <c r="O1445" s="2">
        <v>917</v>
      </c>
      <c r="P1445" s="301">
        <v>6.8977448812263991E-3</v>
      </c>
      <c r="Q1445" s="2">
        <v>103.636363636363</v>
      </c>
      <c r="R1445" s="2">
        <v>880</v>
      </c>
      <c r="S1445" s="301">
        <v>6.4493906058762747E-3</v>
      </c>
      <c r="T1445" s="14">
        <v>130.909088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2045</v>
      </c>
      <c r="B1446" t="s">
        <v>172</v>
      </c>
      <c r="C1446" t="s">
        <v>172</v>
      </c>
      <c r="D1446" t="s">
        <v>172</v>
      </c>
      <c r="E1446" s="2">
        <v>1043</v>
      </c>
      <c r="F1446" s="301">
        <v>1.8454297745850879E-2</v>
      </c>
      <c r="G1446" s="14">
        <v>104.84848484848401</v>
      </c>
      <c r="H1446" s="2">
        <v>1257</v>
      </c>
      <c r="I1446" s="301">
        <v>2.1359388275276125E-2</v>
      </c>
      <c r="J1446" s="14">
        <v>173.939392</v>
      </c>
      <c r="L1446" t="s">
        <v>172</v>
      </c>
      <c r="M1446" t="s">
        <v>172</v>
      </c>
      <c r="N1446" t="s">
        <v>172</v>
      </c>
      <c r="O1446" s="2">
        <v>4453</v>
      </c>
      <c r="P1446" s="301">
        <v>3.3495810202945647E-2</v>
      </c>
      <c r="Q1446" s="14">
        <v>110.90909090909</v>
      </c>
      <c r="R1446" s="2">
        <v>5371</v>
      </c>
      <c r="S1446" s="301">
        <v>3.9363269254728946E-2</v>
      </c>
      <c r="T1446" s="14">
        <v>139.393936</v>
      </c>
      <c r="V1446" t="s">
        <v>172</v>
      </c>
      <c r="W1446" t="s">
        <v>172</v>
      </c>
      <c r="X1446" t="s">
        <v>172</v>
      </c>
      <c r="Y1446" s="2">
        <v>1076627</v>
      </c>
      <c r="Z1446" s="27">
        <v>0.03</v>
      </c>
      <c r="AA1446" s="14">
        <v>1683.03</v>
      </c>
      <c r="AB1446" s="2">
        <v>1317315</v>
      </c>
      <c r="AC1446" s="27">
        <v>3.5999999999999997E-2</v>
      </c>
      <c r="AD1446" s="14">
        <v>2100</v>
      </c>
    </row>
    <row r="1447" spans="1:30" x14ac:dyDescent="0.3">
      <c r="A1447" t="s">
        <v>2035</v>
      </c>
      <c r="B1447" t="s">
        <v>172</v>
      </c>
      <c r="C1447" t="s">
        <v>172</v>
      </c>
      <c r="D1447" t="s">
        <v>172</v>
      </c>
      <c r="E1447" s="2">
        <v>844</v>
      </c>
      <c r="F1447" s="301">
        <v>1.4933295587246541E-2</v>
      </c>
      <c r="G1447" s="14">
        <v>106.06060606060601</v>
      </c>
      <c r="H1447" s="2">
        <v>1084</v>
      </c>
      <c r="I1447" s="301">
        <v>1.8419711129991505E-2</v>
      </c>
      <c r="J1447" s="14">
        <v>144.24243200000001</v>
      </c>
      <c r="L1447" t="s">
        <v>172</v>
      </c>
      <c r="M1447" t="s">
        <v>172</v>
      </c>
      <c r="N1447" t="s">
        <v>172</v>
      </c>
      <c r="O1447" s="2">
        <v>3507</v>
      </c>
      <c r="P1447" s="301">
        <v>2.6379925080110122E-2</v>
      </c>
      <c r="Q1447" s="14">
        <v>73.3333333333333</v>
      </c>
      <c r="R1447" s="2">
        <v>3862</v>
      </c>
      <c r="S1447" s="301">
        <v>2.8304030136243375E-2</v>
      </c>
      <c r="T1447" s="14">
        <v>46.060607900000001</v>
      </c>
      <c r="V1447" t="s">
        <v>172</v>
      </c>
      <c r="W1447" t="s">
        <v>172</v>
      </c>
      <c r="X1447" t="s">
        <v>172</v>
      </c>
      <c r="Y1447" s="2">
        <v>840432</v>
      </c>
      <c r="Z1447" s="27">
        <v>2.4E-2</v>
      </c>
      <c r="AA1447" s="14">
        <v>598.17999999999995</v>
      </c>
      <c r="AB1447" s="2">
        <v>968078</v>
      </c>
      <c r="AC1447" s="27">
        <v>2.7E-2</v>
      </c>
      <c r="AD1447" s="14">
        <v>536.36</v>
      </c>
    </row>
    <row r="1448" spans="1:30" x14ac:dyDescent="0.3">
      <c r="A1448" t="s">
        <v>2044</v>
      </c>
      <c r="B1448" t="s">
        <v>172</v>
      </c>
      <c r="C1448" t="s">
        <v>172</v>
      </c>
      <c r="D1448" t="s">
        <v>172</v>
      </c>
      <c r="E1448" s="2">
        <v>330</v>
      </c>
      <c r="F1448" s="301">
        <v>5.8388478007006615E-3</v>
      </c>
      <c r="G1448" s="2">
        <v>62.424242424242401</v>
      </c>
      <c r="H1448" s="2">
        <v>409</v>
      </c>
      <c r="I1448" s="301">
        <v>6.949872557349193E-3</v>
      </c>
      <c r="J1448" s="14">
        <v>83.636359999999996</v>
      </c>
      <c r="L1448" t="s">
        <v>172</v>
      </c>
      <c r="M1448" t="s">
        <v>172</v>
      </c>
      <c r="N1448" t="s">
        <v>172</v>
      </c>
      <c r="O1448" s="2">
        <v>1043</v>
      </c>
      <c r="P1448" s="301">
        <v>7.8455266206315533E-3</v>
      </c>
      <c r="Q1448" s="2">
        <v>104.24242424242399</v>
      </c>
      <c r="R1448" s="2">
        <v>1426</v>
      </c>
      <c r="S1448" s="301">
        <v>1.0450944322704053E-2</v>
      </c>
      <c r="T1448" s="14">
        <v>145.454544</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2045</v>
      </c>
      <c r="B1449" t="s">
        <v>172</v>
      </c>
      <c r="C1449" t="s">
        <v>172</v>
      </c>
      <c r="D1449" t="s">
        <v>172</v>
      </c>
      <c r="E1449" s="2">
        <v>514</v>
      </c>
      <c r="F1449" s="301">
        <v>9.0944477865458791E-3</v>
      </c>
      <c r="G1449" s="14">
        <v>87.272727272727195</v>
      </c>
      <c r="H1449" s="2">
        <v>675</v>
      </c>
      <c r="I1449" s="301">
        <v>1.1469838572642312E-2</v>
      </c>
      <c r="J1449" s="14">
        <v>144.24243200000001</v>
      </c>
      <c r="L1449" t="s">
        <v>172</v>
      </c>
      <c r="M1449" t="s">
        <v>172</v>
      </c>
      <c r="N1449" t="s">
        <v>172</v>
      </c>
      <c r="O1449" s="2">
        <v>2464</v>
      </c>
      <c r="P1449" s="301">
        <v>1.853439845947857E-2</v>
      </c>
      <c r="Q1449" s="14">
        <v>120</v>
      </c>
      <c r="R1449" s="2">
        <v>2436</v>
      </c>
      <c r="S1449" s="301">
        <v>1.7853085813539324E-2</v>
      </c>
      <c r="T1449" s="14">
        <v>155.15152</v>
      </c>
      <c r="V1449" t="s">
        <v>172</v>
      </c>
      <c r="W1449" t="s">
        <v>172</v>
      </c>
      <c r="X1449" t="s">
        <v>172</v>
      </c>
      <c r="Y1449" s="2">
        <v>600519</v>
      </c>
      <c r="Z1449" s="27">
        <v>1.7000000000000001E-2</v>
      </c>
      <c r="AA1449" s="14">
        <v>1679.39</v>
      </c>
      <c r="AB1449" s="2">
        <v>697720</v>
      </c>
      <c r="AC1449" s="27">
        <v>1.9E-2</v>
      </c>
      <c r="AD1449" s="14">
        <v>2270.91</v>
      </c>
    </row>
    <row r="1450" spans="1:30" x14ac:dyDescent="0.3">
      <c r="A1450" t="s">
        <v>2036</v>
      </c>
      <c r="B1450" t="s">
        <v>172</v>
      </c>
      <c r="C1450" t="s">
        <v>172</v>
      </c>
      <c r="D1450" t="s">
        <v>172</v>
      </c>
      <c r="E1450" s="2">
        <v>28625</v>
      </c>
      <c r="F1450" s="301">
        <v>0.50647581301532252</v>
      </c>
      <c r="G1450" s="14">
        <v>402.42424242424198</v>
      </c>
      <c r="H1450" s="2">
        <v>30199</v>
      </c>
      <c r="I1450" s="301">
        <v>0.5131520815632965</v>
      </c>
      <c r="J1450" s="14">
        <v>386.66665599999999</v>
      </c>
      <c r="L1450" t="s">
        <v>172</v>
      </c>
      <c r="M1450" t="s">
        <v>172</v>
      </c>
      <c r="N1450" t="s">
        <v>172</v>
      </c>
      <c r="O1450" s="2">
        <v>66541</v>
      </c>
      <c r="P1450" s="301">
        <v>0.50052654541078068</v>
      </c>
      <c r="Q1450" s="14">
        <v>414.54545454545399</v>
      </c>
      <c r="R1450" s="2">
        <v>70181</v>
      </c>
      <c r="S1450" s="301">
        <v>0.51434622967159405</v>
      </c>
      <c r="T1450" s="14">
        <v>289.69695999999999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2031</v>
      </c>
      <c r="B1451" t="s">
        <v>172</v>
      </c>
      <c r="C1451" t="s">
        <v>172</v>
      </c>
      <c r="D1451" t="s">
        <v>172</v>
      </c>
      <c r="E1451" s="2">
        <v>7596</v>
      </c>
      <c r="F1451" s="301">
        <v>0.13439966028521888</v>
      </c>
      <c r="G1451" s="14">
        <v>268.48484848484799</v>
      </c>
      <c r="H1451" s="2">
        <v>7773</v>
      </c>
      <c r="I1451" s="301">
        <v>0.13208156329651657</v>
      </c>
      <c r="J1451" s="14">
        <v>293.33334400000001</v>
      </c>
      <c r="L1451" t="s">
        <v>172</v>
      </c>
      <c r="M1451" t="s">
        <v>172</v>
      </c>
      <c r="N1451" t="s">
        <v>172</v>
      </c>
      <c r="O1451" s="2">
        <v>15242</v>
      </c>
      <c r="P1451" s="301">
        <v>0.11465150215883618</v>
      </c>
      <c r="Q1451" s="14">
        <v>110.90909090909</v>
      </c>
      <c r="R1451" s="2">
        <v>15518</v>
      </c>
      <c r="S1451" s="301">
        <v>0.11372914025225912</v>
      </c>
      <c r="T1451" s="14">
        <v>44.242424</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2044</v>
      </c>
      <c r="B1452" t="s">
        <v>172</v>
      </c>
      <c r="C1452" t="s">
        <v>172</v>
      </c>
      <c r="D1452" t="s">
        <v>172</v>
      </c>
      <c r="E1452" s="2">
        <v>33</v>
      </c>
      <c r="F1452" s="301">
        <v>5.8388478007006617E-4</v>
      </c>
      <c r="G1452" s="14">
        <v>15.757575757575699</v>
      </c>
      <c r="H1452" s="2">
        <v>69</v>
      </c>
      <c r="I1452" s="301">
        <v>1.1724723874256585E-3</v>
      </c>
      <c r="J1452" s="14">
        <v>38.181820000000002</v>
      </c>
      <c r="L1452" t="s">
        <v>172</v>
      </c>
      <c r="M1452" t="s">
        <v>172</v>
      </c>
      <c r="N1452" t="s">
        <v>172</v>
      </c>
      <c r="O1452" s="2">
        <v>33</v>
      </c>
      <c r="P1452" s="301">
        <v>2.48228550796588E-4</v>
      </c>
      <c r="Q1452" s="14">
        <v>15.757575757575699</v>
      </c>
      <c r="R1452" s="2">
        <v>92</v>
      </c>
      <c r="S1452" s="301">
        <v>6.7425447243251954E-4</v>
      </c>
      <c r="T1452" s="14">
        <v>42.4242439</v>
      </c>
      <c r="V1452" t="s">
        <v>172</v>
      </c>
      <c r="W1452" t="s">
        <v>172</v>
      </c>
      <c r="X1452" t="s">
        <v>172</v>
      </c>
      <c r="Y1452" s="2">
        <v>16986</v>
      </c>
      <c r="Z1452" s="27">
        <v>0</v>
      </c>
      <c r="AA1452" s="14">
        <v>550.91</v>
      </c>
      <c r="AB1452" s="2">
        <v>16086</v>
      </c>
      <c r="AC1452" s="27">
        <v>0</v>
      </c>
      <c r="AD1452" s="14">
        <v>623.03</v>
      </c>
    </row>
    <row r="1453" spans="1:30" x14ac:dyDescent="0.3">
      <c r="A1453" t="s">
        <v>2045</v>
      </c>
      <c r="B1453" t="s">
        <v>172</v>
      </c>
      <c r="C1453" t="s">
        <v>172</v>
      </c>
      <c r="D1453" t="s">
        <v>172</v>
      </c>
      <c r="E1453" s="2">
        <v>7563</v>
      </c>
      <c r="F1453" s="301">
        <v>0.13381577550514881</v>
      </c>
      <c r="G1453" s="14">
        <v>270.90909090909003</v>
      </c>
      <c r="H1453" s="2">
        <v>7704</v>
      </c>
      <c r="I1453" s="301">
        <v>0.13090909090909092</v>
      </c>
      <c r="J1453" s="14">
        <v>302.42425500000002</v>
      </c>
      <c r="L1453" t="s">
        <v>172</v>
      </c>
      <c r="M1453" t="s">
        <v>172</v>
      </c>
      <c r="N1453" t="s">
        <v>172</v>
      </c>
      <c r="O1453" s="2">
        <v>15209</v>
      </c>
      <c r="P1453" s="301">
        <v>0.11440327360803959</v>
      </c>
      <c r="Q1453" s="14">
        <v>112.121212121212</v>
      </c>
      <c r="R1453" s="2">
        <v>15426</v>
      </c>
      <c r="S1453" s="301">
        <v>0.1130548857798266</v>
      </c>
      <c r="T1453" s="14">
        <v>52.727271999999999</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2032</v>
      </c>
      <c r="B1454" t="s">
        <v>172</v>
      </c>
      <c r="C1454" t="s">
        <v>172</v>
      </c>
      <c r="D1454" t="s">
        <v>172</v>
      </c>
      <c r="E1454" s="2">
        <v>7874</v>
      </c>
      <c r="F1454" s="301">
        <v>0.13931844722035458</v>
      </c>
      <c r="G1454" s="14">
        <v>296.969696969697</v>
      </c>
      <c r="H1454" s="2">
        <v>8241</v>
      </c>
      <c r="I1454" s="301">
        <v>0.14003398470688191</v>
      </c>
      <c r="J1454" s="14">
        <v>317.57574499999998</v>
      </c>
      <c r="L1454" t="s">
        <v>172</v>
      </c>
      <c r="M1454" t="s">
        <v>172</v>
      </c>
      <c r="N1454" t="s">
        <v>172</v>
      </c>
      <c r="O1454" s="2">
        <v>16144</v>
      </c>
      <c r="P1454" s="301">
        <v>0.12143641588060959</v>
      </c>
      <c r="Q1454" s="14">
        <v>258.78787878787801</v>
      </c>
      <c r="R1454" s="2">
        <v>16979</v>
      </c>
      <c r="S1454" s="301">
        <v>0.12443659442860598</v>
      </c>
      <c r="T1454" s="14">
        <v>264.24243200000001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2044</v>
      </c>
      <c r="B1455" t="s">
        <v>172</v>
      </c>
      <c r="C1455" t="s">
        <v>172</v>
      </c>
      <c r="D1455" t="s">
        <v>172</v>
      </c>
      <c r="E1455" s="2">
        <v>83</v>
      </c>
      <c r="F1455" s="301">
        <v>1.4685586892671362E-3</v>
      </c>
      <c r="G1455" s="14">
        <v>41.818181818181799</v>
      </c>
      <c r="H1455" s="2">
        <v>133</v>
      </c>
      <c r="I1455" s="301">
        <v>2.2599830076465589E-3</v>
      </c>
      <c r="J1455" s="14">
        <v>67.272729999999996</v>
      </c>
      <c r="L1455" t="s">
        <v>172</v>
      </c>
      <c r="M1455" t="s">
        <v>172</v>
      </c>
      <c r="N1455" t="s">
        <v>172</v>
      </c>
      <c r="O1455" s="2">
        <v>197</v>
      </c>
      <c r="P1455" s="301">
        <v>1.4818492274826615E-3</v>
      </c>
      <c r="Q1455" s="14">
        <v>61.818181818181799</v>
      </c>
      <c r="R1455" s="2">
        <v>343</v>
      </c>
      <c r="S1455" s="301">
        <v>2.5137965656995024E-3</v>
      </c>
      <c r="T1455" s="14">
        <v>100</v>
      </c>
      <c r="V1455" t="s">
        <v>172</v>
      </c>
      <c r="W1455" t="s">
        <v>172</v>
      </c>
      <c r="X1455" t="s">
        <v>172</v>
      </c>
      <c r="Y1455" s="2">
        <v>50301</v>
      </c>
      <c r="Z1455" s="27">
        <v>1E-3</v>
      </c>
      <c r="AA1455" s="14">
        <v>1016.36</v>
      </c>
      <c r="AB1455" s="2">
        <v>48072</v>
      </c>
      <c r="AC1455" s="27">
        <v>1E-3</v>
      </c>
      <c r="AD1455" s="14">
        <v>1077.58</v>
      </c>
    </row>
    <row r="1456" spans="1:30" x14ac:dyDescent="0.3">
      <c r="A1456" t="s">
        <v>2045</v>
      </c>
      <c r="B1456" t="s">
        <v>172</v>
      </c>
      <c r="C1456" t="s">
        <v>172</v>
      </c>
      <c r="D1456" t="s">
        <v>172</v>
      </c>
      <c r="E1456" s="2">
        <v>7791</v>
      </c>
      <c r="F1456" s="301">
        <v>0.13784988853108743</v>
      </c>
      <c r="G1456" s="14">
        <v>300.60606060606</v>
      </c>
      <c r="H1456" s="2">
        <v>8108</v>
      </c>
      <c r="I1456" s="301">
        <v>0.13777400169923534</v>
      </c>
      <c r="J1456" s="14">
        <v>328.48486300000002</v>
      </c>
      <c r="L1456" t="s">
        <v>172</v>
      </c>
      <c r="M1456" t="s">
        <v>172</v>
      </c>
      <c r="N1456" t="s">
        <v>172</v>
      </c>
      <c r="O1456" s="2">
        <v>15947</v>
      </c>
      <c r="P1456" s="301">
        <v>0.11995456665312693</v>
      </c>
      <c r="Q1456" s="14">
        <v>267.27272727272702</v>
      </c>
      <c r="R1456" s="2">
        <v>16636</v>
      </c>
      <c r="S1456" s="301">
        <v>0.12192279786290648</v>
      </c>
      <c r="T1456" s="14">
        <v>298.78787199999999</v>
      </c>
      <c r="V1456" t="s">
        <v>172</v>
      </c>
      <c r="W1456" t="s">
        <v>172</v>
      </c>
      <c r="X1456" t="s">
        <v>172</v>
      </c>
      <c r="Y1456" s="2">
        <v>4587143</v>
      </c>
      <c r="Z1456" s="27">
        <v>0.13</v>
      </c>
      <c r="AA1456" s="14">
        <v>1326.06</v>
      </c>
      <c r="AB1456" s="2">
        <v>4642707</v>
      </c>
      <c r="AC1456" s="27">
        <v>0.127</v>
      </c>
      <c r="AD1456" s="14">
        <v>1306.06</v>
      </c>
    </row>
    <row r="1457" spans="1:31" x14ac:dyDescent="0.3">
      <c r="A1457" t="s">
        <v>2033</v>
      </c>
      <c r="B1457" t="s">
        <v>172</v>
      </c>
      <c r="C1457" t="s">
        <v>172</v>
      </c>
      <c r="D1457" t="s">
        <v>172</v>
      </c>
      <c r="E1457" s="2">
        <v>10259</v>
      </c>
      <c r="F1457" s="301">
        <v>0.18151739268905481</v>
      </c>
      <c r="G1457" s="14">
        <v>305.45454545454498</v>
      </c>
      <c r="H1457" s="2">
        <v>11074</v>
      </c>
      <c r="I1457" s="301">
        <v>0.1881733220050977</v>
      </c>
      <c r="J1457" s="14">
        <v>316.36364700000001</v>
      </c>
      <c r="L1457" t="s">
        <v>172</v>
      </c>
      <c r="M1457" t="s">
        <v>172</v>
      </c>
      <c r="N1457" t="s">
        <v>172</v>
      </c>
      <c r="O1457" s="2">
        <v>25488</v>
      </c>
      <c r="P1457" s="301">
        <v>0.19172270614252832</v>
      </c>
      <c r="Q1457" s="14">
        <v>240</v>
      </c>
      <c r="R1457" s="2">
        <v>26502</v>
      </c>
      <c r="S1457" s="301">
        <v>0.19422926117833297</v>
      </c>
      <c r="T1457" s="14">
        <v>275.15152</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2044</v>
      </c>
      <c r="B1458" t="s">
        <v>172</v>
      </c>
      <c r="C1458" t="s">
        <v>172</v>
      </c>
      <c r="D1458" t="s">
        <v>172</v>
      </c>
      <c r="E1458" s="2">
        <v>849</v>
      </c>
      <c r="F1458" s="301">
        <v>1.5021762978166249E-2</v>
      </c>
      <c r="G1458" s="14">
        <v>143.030303030303</v>
      </c>
      <c r="H1458" s="2">
        <v>1236</v>
      </c>
      <c r="I1458" s="301">
        <v>2.1002548853016143E-2</v>
      </c>
      <c r="J1458" s="14">
        <v>213.33332799999999</v>
      </c>
      <c r="L1458" t="s">
        <v>172</v>
      </c>
      <c r="M1458" t="s">
        <v>172</v>
      </c>
      <c r="N1458" t="s">
        <v>172</v>
      </c>
      <c r="O1458" s="2">
        <v>1994</v>
      </c>
      <c r="P1458" s="301">
        <v>1.4999022129951408E-2</v>
      </c>
      <c r="Q1458" s="14">
        <v>198.18181818181799</v>
      </c>
      <c r="R1458" s="2">
        <v>2563</v>
      </c>
      <c r="S1458" s="301">
        <v>1.8783850139614647E-2</v>
      </c>
      <c r="T1458" s="14">
        <v>264.24243200000001</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2045</v>
      </c>
      <c r="B1459" t="s">
        <v>172</v>
      </c>
      <c r="C1459" t="s">
        <v>172</v>
      </c>
      <c r="D1459" t="s">
        <v>172</v>
      </c>
      <c r="E1459" s="2">
        <v>9410</v>
      </c>
      <c r="F1459" s="301">
        <v>0.16649562971088858</v>
      </c>
      <c r="G1459" s="14">
        <v>288.48484848484799</v>
      </c>
      <c r="H1459" s="2">
        <v>9838</v>
      </c>
      <c r="I1459" s="301">
        <v>0.16717077315208156</v>
      </c>
      <c r="J1459" s="14">
        <v>334.54544099999998</v>
      </c>
      <c r="L1459" t="s">
        <v>172</v>
      </c>
      <c r="M1459" t="s">
        <v>172</v>
      </c>
      <c r="N1459" t="s">
        <v>172</v>
      </c>
      <c r="O1459" s="2">
        <v>23494</v>
      </c>
      <c r="P1459" s="301">
        <v>0.1767236840125769</v>
      </c>
      <c r="Q1459" s="14">
        <v>326.06060606060601</v>
      </c>
      <c r="R1459" s="2">
        <v>23939</v>
      </c>
      <c r="S1459" s="301">
        <v>0.17544541103871833</v>
      </c>
      <c r="T1459" s="14">
        <v>332.72726399999999</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2034</v>
      </c>
      <c r="B1460" t="s">
        <v>172</v>
      </c>
      <c r="C1460" t="s">
        <v>172</v>
      </c>
      <c r="D1460" t="s">
        <v>172</v>
      </c>
      <c r="E1460" s="2">
        <v>1589</v>
      </c>
      <c r="F1460" s="301">
        <v>2.8114936834282882E-2</v>
      </c>
      <c r="G1460" s="14">
        <v>106.666666666666</v>
      </c>
      <c r="H1460" s="2">
        <v>1695</v>
      </c>
      <c r="I1460" s="301">
        <v>2.8802039082412915E-2</v>
      </c>
      <c r="J1460" s="14">
        <v>136.96969999999999</v>
      </c>
      <c r="L1460" t="s">
        <v>172</v>
      </c>
      <c r="M1460" t="s">
        <v>172</v>
      </c>
      <c r="N1460" t="s">
        <v>172</v>
      </c>
      <c r="O1460" s="2">
        <v>5649</v>
      </c>
      <c r="P1460" s="301">
        <v>4.2492214649997744E-2</v>
      </c>
      <c r="Q1460" s="14">
        <v>78.181818181818201</v>
      </c>
      <c r="R1460" s="2">
        <v>6649</v>
      </c>
      <c r="S1460" s="301">
        <v>4.8729543339171989E-2</v>
      </c>
      <c r="T1460" s="14">
        <v>96.969695999999999</v>
      </c>
      <c r="V1460" t="s">
        <v>172</v>
      </c>
      <c r="W1460" t="s">
        <v>172</v>
      </c>
      <c r="X1460" t="s">
        <v>172</v>
      </c>
      <c r="Y1460" s="2">
        <v>1427224</v>
      </c>
      <c r="Z1460" s="27">
        <v>0.04</v>
      </c>
      <c r="AA1460" s="14">
        <v>443.64</v>
      </c>
      <c r="AB1460" s="2">
        <v>1735473</v>
      </c>
      <c r="AC1460" s="27">
        <v>4.8000000000000001E-2</v>
      </c>
      <c r="AD1460" s="14">
        <v>575.76</v>
      </c>
    </row>
    <row r="1461" spans="1:31" x14ac:dyDescent="0.3">
      <c r="A1461" t="s">
        <v>2044</v>
      </c>
      <c r="B1461" t="s">
        <v>172</v>
      </c>
      <c r="C1461" t="s">
        <v>172</v>
      </c>
      <c r="D1461" t="s">
        <v>172</v>
      </c>
      <c r="E1461" s="2">
        <v>457</v>
      </c>
      <c r="F1461" s="301">
        <v>8.0859195300612193E-3</v>
      </c>
      <c r="G1461" s="14">
        <v>88.484848484848399</v>
      </c>
      <c r="H1461" s="2">
        <v>429</v>
      </c>
      <c r="I1461" s="301">
        <v>7.2897196261682241E-3</v>
      </c>
      <c r="J1461" s="14">
        <v>102.42424</v>
      </c>
      <c r="L1461" t="s">
        <v>172</v>
      </c>
      <c r="M1461" t="s">
        <v>172</v>
      </c>
      <c r="N1461" t="s">
        <v>172</v>
      </c>
      <c r="O1461" s="2">
        <v>1369</v>
      </c>
      <c r="P1461" s="301">
        <v>1.0297723819409969E-2</v>
      </c>
      <c r="Q1461" s="14">
        <v>132.72727272727201</v>
      </c>
      <c r="R1461" s="2">
        <v>1304</v>
      </c>
      <c r="S1461" s="301">
        <v>9.5568242614348427E-3</v>
      </c>
      <c r="T1461" s="14">
        <v>150.909088</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2045</v>
      </c>
      <c r="B1462" t="s">
        <v>172</v>
      </c>
      <c r="C1462" t="s">
        <v>172</v>
      </c>
      <c r="D1462" t="s">
        <v>172</v>
      </c>
      <c r="E1462" s="2">
        <v>1132</v>
      </c>
      <c r="F1462" s="301">
        <v>2.0029017304221665E-2</v>
      </c>
      <c r="G1462" s="14">
        <v>105.454545454545</v>
      </c>
      <c r="H1462" s="2">
        <v>1266</v>
      </c>
      <c r="I1462" s="301">
        <v>2.151231945624469E-2</v>
      </c>
      <c r="J1462" s="14">
        <v>133.939392</v>
      </c>
      <c r="L1462" t="s">
        <v>172</v>
      </c>
      <c r="M1462" t="s">
        <v>172</v>
      </c>
      <c r="N1462" t="s">
        <v>172</v>
      </c>
      <c r="O1462" s="2">
        <v>4280</v>
      </c>
      <c r="P1462" s="301">
        <v>3.2194490830587778E-2</v>
      </c>
      <c r="Q1462" s="14">
        <v>145.45454545454501</v>
      </c>
      <c r="R1462" s="2">
        <v>5345</v>
      </c>
      <c r="S1462" s="301">
        <v>3.9172719077737145E-2</v>
      </c>
      <c r="T1462" s="14">
        <v>146.66667200000001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2035</v>
      </c>
      <c r="B1463" t="s">
        <v>172</v>
      </c>
      <c r="C1463" t="s">
        <v>172</v>
      </c>
      <c r="D1463" t="s">
        <v>172</v>
      </c>
      <c r="E1463" s="2">
        <v>1307</v>
      </c>
      <c r="F1463" s="301">
        <v>2.3125375986411408E-2</v>
      </c>
      <c r="G1463" s="14">
        <v>143.030303030303</v>
      </c>
      <c r="H1463" s="2">
        <v>1416</v>
      </c>
      <c r="I1463" s="301">
        <v>2.4061172472387427E-2</v>
      </c>
      <c r="J1463" s="14">
        <v>143.636368</v>
      </c>
      <c r="L1463" t="s">
        <v>172</v>
      </c>
      <c r="M1463" t="s">
        <v>172</v>
      </c>
      <c r="N1463" t="s">
        <v>172</v>
      </c>
      <c r="O1463" s="2">
        <v>4018</v>
      </c>
      <c r="P1463" s="301">
        <v>3.0223706578808802E-2</v>
      </c>
      <c r="Q1463" s="14">
        <v>87.878787878787904</v>
      </c>
      <c r="R1463" s="2">
        <v>4533</v>
      </c>
      <c r="S1463" s="301">
        <v>3.3221690473224035E-2</v>
      </c>
      <c r="T1463" s="14">
        <v>89.090909999999994</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2044</v>
      </c>
      <c r="B1464" t="s">
        <v>172</v>
      </c>
      <c r="C1464" t="s">
        <v>172</v>
      </c>
      <c r="D1464" t="s">
        <v>172</v>
      </c>
      <c r="E1464" s="2">
        <v>639</v>
      </c>
      <c r="F1464" s="301">
        <v>1.1306132559538554E-2</v>
      </c>
      <c r="G1464" s="2">
        <v>109.69696969696901</v>
      </c>
      <c r="H1464" s="2">
        <v>593</v>
      </c>
      <c r="I1464" s="301">
        <v>1.0076465590484283E-2</v>
      </c>
      <c r="J1464" s="14">
        <v>112.727272</v>
      </c>
      <c r="L1464" t="s">
        <v>172</v>
      </c>
      <c r="M1464" t="s">
        <v>172</v>
      </c>
      <c r="N1464" t="s">
        <v>172</v>
      </c>
      <c r="O1464" s="2">
        <v>1709</v>
      </c>
      <c r="P1464" s="301">
        <v>1.2855230100344511E-2</v>
      </c>
      <c r="Q1464" s="2">
        <v>116.969696969697</v>
      </c>
      <c r="R1464" s="2">
        <v>1479</v>
      </c>
      <c r="S1464" s="301">
        <v>1.0839373529648874E-2</v>
      </c>
      <c r="T1464" s="14">
        <v>152.121216</v>
      </c>
      <c r="V1464" t="s">
        <v>172</v>
      </c>
      <c r="W1464" t="s">
        <v>172</v>
      </c>
      <c r="X1464" t="s">
        <v>172</v>
      </c>
      <c r="Y1464" s="2">
        <v>467412</v>
      </c>
      <c r="Z1464" s="27">
        <v>1.2999999999999999E-2</v>
      </c>
      <c r="AA1464" s="14">
        <v>2248</v>
      </c>
      <c r="AB1464" s="2">
        <v>502760</v>
      </c>
      <c r="AC1464" s="27">
        <v>1.4E-2</v>
      </c>
      <c r="AD1464" s="14">
        <v>2773.33</v>
      </c>
    </row>
    <row r="1465" spans="1:31" x14ac:dyDescent="0.3">
      <c r="A1465" t="s">
        <v>2045</v>
      </c>
      <c r="B1465" t="s">
        <v>172</v>
      </c>
      <c r="C1465" t="s">
        <v>172</v>
      </c>
      <c r="D1465" t="s">
        <v>172</v>
      </c>
      <c r="E1465" s="2">
        <v>668</v>
      </c>
      <c r="F1465" s="301">
        <v>1.1819243426872855E-2</v>
      </c>
      <c r="G1465" s="14">
        <v>114.54545454545401</v>
      </c>
      <c r="H1465" s="2">
        <v>823</v>
      </c>
      <c r="I1465" s="301">
        <v>1.3984706881903144E-2</v>
      </c>
      <c r="J1465" s="14">
        <v>133.33332799999999</v>
      </c>
      <c r="L1465" t="s">
        <v>172</v>
      </c>
      <c r="M1465" t="s">
        <v>172</v>
      </c>
      <c r="N1465" t="s">
        <v>172</v>
      </c>
      <c r="O1465" s="2">
        <v>2309</v>
      </c>
      <c r="P1465" s="301">
        <v>1.7368476478464293E-2</v>
      </c>
      <c r="Q1465" s="14">
        <v>146.666666666666</v>
      </c>
      <c r="R1465" s="2">
        <v>3054</v>
      </c>
      <c r="S1465" s="301">
        <v>2.2382316943575162E-2</v>
      </c>
      <c r="T1465" s="14">
        <v>133.939392</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2046</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172</v>
      </c>
      <c r="C1468" t="s">
        <v>172</v>
      </c>
      <c r="D1468" t="s">
        <v>172</v>
      </c>
      <c r="E1468" s="304" t="s">
        <v>1706</v>
      </c>
      <c r="F1468" s="304"/>
      <c r="G1468" s="304" t="s">
        <v>1707</v>
      </c>
      <c r="H1468" s="304" t="s">
        <v>1706</v>
      </c>
      <c r="I1468" s="304"/>
      <c r="J1468" s="304" t="s">
        <v>1707</v>
      </c>
      <c r="K1468" t="s">
        <v>172</v>
      </c>
      <c r="L1468" t="s">
        <v>172</v>
      </c>
      <c r="M1468" t="s">
        <v>172</v>
      </c>
      <c r="N1468" t="s">
        <v>172</v>
      </c>
      <c r="O1468" s="304" t="s">
        <v>1706</v>
      </c>
      <c r="P1468" s="304"/>
      <c r="Q1468" s="304" t="s">
        <v>1707</v>
      </c>
      <c r="R1468" s="304" t="s">
        <v>1706</v>
      </c>
      <c r="S1468" s="304"/>
      <c r="T1468" s="304" t="s">
        <v>1707</v>
      </c>
      <c r="U1468" t="s">
        <v>172</v>
      </c>
      <c r="V1468" t="s">
        <v>172</v>
      </c>
      <c r="W1468" t="s">
        <v>172</v>
      </c>
      <c r="X1468" t="s">
        <v>172</v>
      </c>
      <c r="Y1468" s="207" t="s">
        <v>1706</v>
      </c>
      <c r="Z1468" s="207"/>
      <c r="AA1468" s="207" t="s">
        <v>1707</v>
      </c>
      <c r="AB1468" s="207" t="s">
        <v>1706</v>
      </c>
      <c r="AC1468" s="207"/>
      <c r="AD1468" s="207" t="s">
        <v>1707</v>
      </c>
      <c r="AE1468" t="s">
        <v>172</v>
      </c>
    </row>
    <row r="1469" spans="1:31" x14ac:dyDescent="0.3">
      <c r="A1469" t="s">
        <v>174</v>
      </c>
      <c r="B1469" t="s">
        <v>172</v>
      </c>
      <c r="C1469" t="s">
        <v>172</v>
      </c>
      <c r="D1469" t="s">
        <v>172</v>
      </c>
      <c r="E1469" s="2">
        <v>56518</v>
      </c>
      <c r="F1469" t="s">
        <v>172</v>
      </c>
      <c r="G1469" s="14">
        <v>296.969696969697</v>
      </c>
      <c r="H1469" s="2">
        <v>58850</v>
      </c>
      <c r="I1469" t="s">
        <v>172</v>
      </c>
      <c r="J1469" s="14">
        <v>313.33334400000001</v>
      </c>
      <c r="L1469" t="s">
        <v>172</v>
      </c>
      <c r="M1469" t="s">
        <v>172</v>
      </c>
      <c r="N1469" t="s">
        <v>172</v>
      </c>
      <c r="O1469" s="2">
        <v>132942</v>
      </c>
      <c r="P1469" t="s">
        <v>172</v>
      </c>
      <c r="Q1469" s="14">
        <v>403.030303030303</v>
      </c>
      <c r="R1469" s="2">
        <v>136447</v>
      </c>
      <c r="S1469" t="s">
        <v>172</v>
      </c>
      <c r="T1469" s="14">
        <v>342.42425500000002</v>
      </c>
      <c r="V1469" t="s">
        <v>172</v>
      </c>
      <c r="W1469" t="s">
        <v>172</v>
      </c>
      <c r="X1469" t="s">
        <v>172</v>
      </c>
      <c r="Y1469" s="2">
        <v>35400693</v>
      </c>
      <c r="Z1469" s="27" t="s">
        <v>172</v>
      </c>
      <c r="AA1469" s="14">
        <v>1443.03</v>
      </c>
      <c r="AB1469" s="2">
        <v>36429855</v>
      </c>
      <c r="AC1469" s="27" t="s">
        <v>172</v>
      </c>
      <c r="AD1469" s="14">
        <v>1813.33</v>
      </c>
    </row>
    <row r="1470" spans="1:31" x14ac:dyDescent="0.3">
      <c r="A1470" t="s">
        <v>2028</v>
      </c>
      <c r="B1470" t="s">
        <v>172</v>
      </c>
      <c r="C1470" t="s">
        <v>172</v>
      </c>
      <c r="D1470" t="s">
        <v>172</v>
      </c>
      <c r="E1470" s="2">
        <v>27893</v>
      </c>
      <c r="F1470" s="301">
        <v>0.49352418698467743</v>
      </c>
      <c r="G1470" s="14">
        <v>360</v>
      </c>
      <c r="H1470" s="2">
        <v>28651</v>
      </c>
      <c r="I1470" s="301">
        <v>0.4868479184367035</v>
      </c>
      <c r="J1470" s="14">
        <v>412.72726399999999</v>
      </c>
      <c r="L1470" t="s">
        <v>172</v>
      </c>
      <c r="M1470" t="s">
        <v>172</v>
      </c>
      <c r="N1470" t="s">
        <v>172</v>
      </c>
      <c r="O1470" s="2">
        <v>66401</v>
      </c>
      <c r="P1470" s="301">
        <v>0.49947345458921938</v>
      </c>
      <c r="Q1470" s="14">
        <v>252.12121212121201</v>
      </c>
      <c r="R1470" s="2">
        <v>66266</v>
      </c>
      <c r="S1470" s="301">
        <v>0.4856537703284059</v>
      </c>
      <c r="T1470" s="14">
        <v>242.42424</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2031</v>
      </c>
      <c r="B1471" t="s">
        <v>172</v>
      </c>
      <c r="C1471" t="s">
        <v>172</v>
      </c>
      <c r="D1471" t="s">
        <v>172</v>
      </c>
      <c r="E1471" s="2">
        <v>7590</v>
      </c>
      <c r="F1471" s="301">
        <v>0.13429349941611521</v>
      </c>
      <c r="G1471" s="14">
        <v>269.69696969696901</v>
      </c>
      <c r="H1471" s="2">
        <v>7938</v>
      </c>
      <c r="I1471" s="301">
        <v>0.13488530161427359</v>
      </c>
      <c r="J1471" s="14">
        <v>257.57574499999998</v>
      </c>
      <c r="L1471" t="s">
        <v>172</v>
      </c>
      <c r="M1471" t="s">
        <v>172</v>
      </c>
      <c r="N1471" t="s">
        <v>172</v>
      </c>
      <c r="O1471" s="2">
        <v>15721</v>
      </c>
      <c r="P1471" s="301">
        <v>0.11825457718403515</v>
      </c>
      <c r="Q1471" s="14">
        <v>135.15151515151501</v>
      </c>
      <c r="R1471" s="2">
        <v>15821</v>
      </c>
      <c r="S1471" s="301">
        <v>0.1159497826995097</v>
      </c>
      <c r="T1471" s="14">
        <v>87.878784199999998</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2047</v>
      </c>
      <c r="B1472" t="s">
        <v>172</v>
      </c>
      <c r="C1472" t="s">
        <v>172</v>
      </c>
      <c r="D1472" t="s">
        <v>172</v>
      </c>
      <c r="E1472" s="2">
        <v>58</v>
      </c>
      <c r="F1472" s="301">
        <v>1.0262217346686012E-3</v>
      </c>
      <c r="G1472" s="14">
        <v>25.4545454545454</v>
      </c>
      <c r="H1472" s="2">
        <v>40</v>
      </c>
      <c r="I1472" s="301">
        <v>6.7969413763806284E-4</v>
      </c>
      <c r="J1472" s="14">
        <v>27.878788</v>
      </c>
      <c r="L1472" t="s">
        <v>172</v>
      </c>
      <c r="M1472" t="s">
        <v>172</v>
      </c>
      <c r="N1472" t="s">
        <v>172</v>
      </c>
      <c r="O1472" s="2">
        <v>144</v>
      </c>
      <c r="P1472" s="301">
        <v>1.0831791307487476E-3</v>
      </c>
      <c r="Q1472" s="14">
        <v>50.303030303030297</v>
      </c>
      <c r="R1472" s="2">
        <v>158</v>
      </c>
      <c r="S1472" s="301">
        <v>1.1579587678732402E-3</v>
      </c>
      <c r="T1472" s="14">
        <v>52.121212</v>
      </c>
      <c r="V1472" t="s">
        <v>172</v>
      </c>
      <c r="W1472" t="s">
        <v>172</v>
      </c>
      <c r="X1472" t="s">
        <v>172</v>
      </c>
      <c r="Y1472" s="2">
        <v>37293</v>
      </c>
      <c r="Z1472" s="27">
        <v>1E-3</v>
      </c>
      <c r="AA1472" s="14">
        <v>725.45</v>
      </c>
      <c r="AB1472" s="2">
        <v>46698</v>
      </c>
      <c r="AC1472" s="27">
        <v>1E-3</v>
      </c>
      <c r="AD1472" s="14">
        <v>1167.27</v>
      </c>
    </row>
    <row r="1473" spans="1:30" x14ac:dyDescent="0.3">
      <c r="A1473" t="s">
        <v>2048</v>
      </c>
      <c r="B1473" t="s">
        <v>172</v>
      </c>
      <c r="C1473" t="s">
        <v>172</v>
      </c>
      <c r="D1473" t="s">
        <v>172</v>
      </c>
      <c r="E1473" s="2">
        <v>7532</v>
      </c>
      <c r="F1473" s="301">
        <v>0.13326727768144661</v>
      </c>
      <c r="G1473" s="14">
        <v>273.93939393939303</v>
      </c>
      <c r="H1473" s="2">
        <v>7898</v>
      </c>
      <c r="I1473" s="301">
        <v>0.13420560747663551</v>
      </c>
      <c r="J1473" s="14">
        <v>256.36364700000001</v>
      </c>
      <c r="L1473" t="s">
        <v>172</v>
      </c>
      <c r="M1473" t="s">
        <v>172</v>
      </c>
      <c r="N1473" t="s">
        <v>172</v>
      </c>
      <c r="O1473" s="2">
        <v>15577</v>
      </c>
      <c r="P1473" s="301">
        <v>0.1171713980532864</v>
      </c>
      <c r="Q1473" s="14">
        <v>135.15151515151501</v>
      </c>
      <c r="R1473" s="2">
        <v>15663</v>
      </c>
      <c r="S1473" s="301">
        <v>0.11479182393163646</v>
      </c>
      <c r="T1473" s="14">
        <v>101.21212</v>
      </c>
      <c r="V1473" t="s">
        <v>172</v>
      </c>
      <c r="W1473" t="s">
        <v>172</v>
      </c>
      <c r="X1473" t="s">
        <v>172</v>
      </c>
      <c r="Y1473" s="2">
        <v>3354431</v>
      </c>
      <c r="Z1473" s="27">
        <v>9.5000000000000001E-2</v>
      </c>
      <c r="AA1473" s="14">
        <v>827.27</v>
      </c>
      <c r="AB1473" s="2">
        <v>3288030</v>
      </c>
      <c r="AC1473" s="27">
        <v>0.09</v>
      </c>
      <c r="AD1473" s="14">
        <v>1340</v>
      </c>
    </row>
    <row r="1474" spans="1:30" x14ac:dyDescent="0.3">
      <c r="A1474" t="s">
        <v>2032</v>
      </c>
      <c r="B1474" t="s">
        <v>172</v>
      </c>
      <c r="C1474" t="s">
        <v>172</v>
      </c>
      <c r="D1474" t="s">
        <v>172</v>
      </c>
      <c r="E1474" s="2">
        <v>8632</v>
      </c>
      <c r="F1474" s="301">
        <v>0.15273010368378215</v>
      </c>
      <c r="G1474" s="14">
        <v>309.09090909090901</v>
      </c>
      <c r="H1474" s="2">
        <v>8351</v>
      </c>
      <c r="I1474" s="301">
        <v>0.14190314358538658</v>
      </c>
      <c r="J1474" s="14">
        <v>294.54544099999998</v>
      </c>
      <c r="L1474" t="s">
        <v>172</v>
      </c>
      <c r="M1474" t="s">
        <v>172</v>
      </c>
      <c r="N1474" t="s">
        <v>172</v>
      </c>
      <c r="O1474" s="2">
        <v>17134</v>
      </c>
      <c r="P1474" s="301">
        <v>0.12888327240450723</v>
      </c>
      <c r="Q1474" s="14">
        <v>133.939393939393</v>
      </c>
      <c r="R1474" s="2">
        <v>16548</v>
      </c>
      <c r="S1474" s="301">
        <v>0.12127785880231885</v>
      </c>
      <c r="T1474" s="14">
        <v>134.545456</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2047</v>
      </c>
      <c r="B1475" t="s">
        <v>172</v>
      </c>
      <c r="C1475" t="s">
        <v>172</v>
      </c>
      <c r="D1475" t="s">
        <v>172</v>
      </c>
      <c r="E1475" s="2">
        <v>53</v>
      </c>
      <c r="F1475" s="301">
        <v>9.3775434374889421E-4</v>
      </c>
      <c r="G1475" s="14">
        <v>36.363636363636303</v>
      </c>
      <c r="H1475" s="2">
        <v>129</v>
      </c>
      <c r="I1475" s="301">
        <v>2.1920135938827529E-3</v>
      </c>
      <c r="J1475" s="14">
        <v>76.363640000000004</v>
      </c>
      <c r="L1475" t="s">
        <v>172</v>
      </c>
      <c r="M1475" t="s">
        <v>172</v>
      </c>
      <c r="N1475" t="s">
        <v>172</v>
      </c>
      <c r="O1475" s="2">
        <v>181</v>
      </c>
      <c r="P1475" s="301">
        <v>1.3614959907328008E-3</v>
      </c>
      <c r="Q1475" s="14">
        <v>60</v>
      </c>
      <c r="R1475" s="2">
        <v>194</v>
      </c>
      <c r="S1475" s="301">
        <v>1.4217974744772696E-3</v>
      </c>
      <c r="T1475" s="14">
        <v>67.272729999999996</v>
      </c>
      <c r="V1475" t="s">
        <v>172</v>
      </c>
      <c r="W1475" t="s">
        <v>172</v>
      </c>
      <c r="X1475" t="s">
        <v>172</v>
      </c>
      <c r="Y1475" s="2">
        <v>41345</v>
      </c>
      <c r="Z1475" s="27">
        <v>1E-3</v>
      </c>
      <c r="AA1475" s="14">
        <v>853.33</v>
      </c>
      <c r="AB1475" s="2">
        <v>42696</v>
      </c>
      <c r="AC1475" s="27">
        <v>1E-3</v>
      </c>
      <c r="AD1475" s="14">
        <v>1030.9100000000001</v>
      </c>
    </row>
    <row r="1476" spans="1:30" x14ac:dyDescent="0.3">
      <c r="A1476" t="s">
        <v>2048</v>
      </c>
      <c r="B1476" t="s">
        <v>172</v>
      </c>
      <c r="C1476" t="s">
        <v>172</v>
      </c>
      <c r="D1476" t="s">
        <v>172</v>
      </c>
      <c r="E1476" s="2">
        <v>8579</v>
      </c>
      <c r="F1476" s="301">
        <v>0.15179234934003327</v>
      </c>
      <c r="G1476" s="14">
        <v>312.72727272727201</v>
      </c>
      <c r="H1476" s="2">
        <v>8222</v>
      </c>
      <c r="I1476" s="301">
        <v>0.13971112999150381</v>
      </c>
      <c r="J1476" s="14">
        <v>305.45455900000002</v>
      </c>
      <c r="L1476" t="s">
        <v>172</v>
      </c>
      <c r="M1476" t="s">
        <v>172</v>
      </c>
      <c r="N1476" t="s">
        <v>172</v>
      </c>
      <c r="O1476" s="2">
        <v>16953</v>
      </c>
      <c r="P1476" s="301">
        <v>0.12752177641377443</v>
      </c>
      <c r="Q1476" s="14">
        <v>148.48484848484799</v>
      </c>
      <c r="R1476" s="2">
        <v>16354</v>
      </c>
      <c r="S1476" s="301">
        <v>0.11985606132784157</v>
      </c>
      <c r="T1476" s="14">
        <v>140.606064</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2033</v>
      </c>
      <c r="B1477" t="s">
        <v>172</v>
      </c>
      <c r="C1477" t="s">
        <v>172</v>
      </c>
      <c r="D1477" t="s">
        <v>172</v>
      </c>
      <c r="E1477" s="2">
        <v>9561</v>
      </c>
      <c r="F1477" s="301">
        <v>0.16916734491666371</v>
      </c>
      <c r="G1477" s="14">
        <v>252.12121212121201</v>
      </c>
      <c r="H1477" s="2">
        <v>9792</v>
      </c>
      <c r="I1477" s="301">
        <v>0.16638912489379779</v>
      </c>
      <c r="J1477" s="14">
        <v>298.18182400000001</v>
      </c>
      <c r="L1477" t="s">
        <v>172</v>
      </c>
      <c r="M1477" t="s">
        <v>172</v>
      </c>
      <c r="N1477" t="s">
        <v>172</v>
      </c>
      <c r="O1477" s="2">
        <v>24669</v>
      </c>
      <c r="P1477" s="301">
        <v>0.18556212483639481</v>
      </c>
      <c r="Q1477" s="14">
        <v>168.48484848484799</v>
      </c>
      <c r="R1477" s="2">
        <v>23784</v>
      </c>
      <c r="S1477" s="301">
        <v>0.17430943882972877</v>
      </c>
      <c r="T1477" s="14">
        <v>184.24243200000001</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2047</v>
      </c>
      <c r="B1478" t="s">
        <v>172</v>
      </c>
      <c r="C1478" t="s">
        <v>172</v>
      </c>
      <c r="D1478" t="s">
        <v>172</v>
      </c>
      <c r="E1478" s="2">
        <v>325</v>
      </c>
      <c r="F1478" s="301">
        <v>5.7503804097809551E-3</v>
      </c>
      <c r="G1478" s="14">
        <v>76.969696969696898</v>
      </c>
      <c r="H1478" s="2">
        <v>116</v>
      </c>
      <c r="I1478" s="301">
        <v>1.9711129991503823E-3</v>
      </c>
      <c r="J1478" s="14">
        <v>59.393940000000001</v>
      </c>
      <c r="L1478" t="s">
        <v>172</v>
      </c>
      <c r="M1478" t="s">
        <v>172</v>
      </c>
      <c r="N1478" t="s">
        <v>172</v>
      </c>
      <c r="O1478" s="2">
        <v>745</v>
      </c>
      <c r="P1478" s="301">
        <v>5.6039475861653955E-3</v>
      </c>
      <c r="Q1478" s="14">
        <v>118.787878787878</v>
      </c>
      <c r="R1478" s="2">
        <v>332</v>
      </c>
      <c r="S1478" s="301">
        <v>2.4331791831260488E-3</v>
      </c>
      <c r="T1478" s="14">
        <v>84.848489999999998</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2048</v>
      </c>
      <c r="B1479" t="s">
        <v>172</v>
      </c>
      <c r="C1479" t="s">
        <v>172</v>
      </c>
      <c r="D1479" t="s">
        <v>172</v>
      </c>
      <c r="E1479" s="2">
        <v>9236</v>
      </c>
      <c r="F1479" s="301">
        <v>0.16341696450688276</v>
      </c>
      <c r="G1479" s="14">
        <v>252.12121212121201</v>
      </c>
      <c r="H1479" s="2">
        <v>9676</v>
      </c>
      <c r="I1479" s="301">
        <v>0.16441801189464741</v>
      </c>
      <c r="J1479" s="14">
        <v>290.90910000000002</v>
      </c>
      <c r="L1479" t="s">
        <v>172</v>
      </c>
      <c r="M1479" t="s">
        <v>172</v>
      </c>
      <c r="N1479" t="s">
        <v>172</v>
      </c>
      <c r="O1479" s="2">
        <v>23924</v>
      </c>
      <c r="P1479" s="301">
        <v>0.17995817725022942</v>
      </c>
      <c r="Q1479" s="14">
        <v>209.09090909090901</v>
      </c>
      <c r="R1479" s="2">
        <v>23452</v>
      </c>
      <c r="S1479" s="301">
        <v>0.17187625964660272</v>
      </c>
      <c r="T1479" s="14">
        <v>221.81817599999999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2034</v>
      </c>
      <c r="B1480" t="s">
        <v>172</v>
      </c>
      <c r="C1480" t="s">
        <v>172</v>
      </c>
      <c r="D1480" t="s">
        <v>172</v>
      </c>
      <c r="E1480" s="2">
        <v>1266</v>
      </c>
      <c r="F1480" s="301">
        <v>2.239994338086981E-2</v>
      </c>
      <c r="G1480" s="14">
        <v>115.757575757575</v>
      </c>
      <c r="H1480" s="2">
        <v>1486</v>
      </c>
      <c r="I1480" s="301">
        <v>2.5250637213254035E-2</v>
      </c>
      <c r="J1480" s="14">
        <v>176.363632</v>
      </c>
      <c r="L1480" t="s">
        <v>172</v>
      </c>
      <c r="M1480" t="s">
        <v>172</v>
      </c>
      <c r="N1480" t="s">
        <v>172</v>
      </c>
      <c r="O1480" s="2">
        <v>5370</v>
      </c>
      <c r="P1480" s="301">
        <v>4.0393555084172042E-2</v>
      </c>
      <c r="Q1480" s="14">
        <v>72.121212121212096</v>
      </c>
      <c r="R1480" s="2">
        <v>6251</v>
      </c>
      <c r="S1480" s="301">
        <v>4.5812659860605218E-2</v>
      </c>
      <c r="T1480" s="14">
        <v>73.333335899999994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2047</v>
      </c>
      <c r="B1481" t="s">
        <v>172</v>
      </c>
      <c r="C1481" t="s">
        <v>172</v>
      </c>
      <c r="D1481" t="s">
        <v>172</v>
      </c>
      <c r="E1481" s="2">
        <v>57</v>
      </c>
      <c r="F1481" s="301">
        <v>1.0085282564846598E-3</v>
      </c>
      <c r="G1481" s="14">
        <v>29.696969696969699</v>
      </c>
      <c r="H1481" s="2">
        <v>13</v>
      </c>
      <c r="I1481" s="301">
        <v>2.2090059473237042E-4</v>
      </c>
      <c r="J1481" s="14">
        <v>10.909091</v>
      </c>
      <c r="L1481" t="s">
        <v>172</v>
      </c>
      <c r="M1481" t="s">
        <v>172</v>
      </c>
      <c r="N1481" t="s">
        <v>172</v>
      </c>
      <c r="O1481" s="2">
        <v>281</v>
      </c>
      <c r="P1481" s="301">
        <v>2.1137037204194309E-3</v>
      </c>
      <c r="Q1481" s="14">
        <v>65.454545454545396</v>
      </c>
      <c r="R1481" s="2">
        <v>221</v>
      </c>
      <c r="S1481" s="301">
        <v>1.6196765044302916E-3</v>
      </c>
      <c r="T1481" s="14">
        <v>67.878784199999998</v>
      </c>
      <c r="V1481" t="s">
        <v>172</v>
      </c>
      <c r="W1481" t="s">
        <v>172</v>
      </c>
      <c r="X1481" t="s">
        <v>172</v>
      </c>
      <c r="Y1481" s="2">
        <v>55151</v>
      </c>
      <c r="Z1481" s="27">
        <v>2E-3</v>
      </c>
      <c r="AA1481" s="14">
        <v>1024.24</v>
      </c>
      <c r="AB1481" s="2">
        <v>65179</v>
      </c>
      <c r="AC1481" s="27">
        <v>2E-3</v>
      </c>
      <c r="AD1481" s="14">
        <v>1267.8800000000001</v>
      </c>
    </row>
    <row r="1482" spans="1:30" x14ac:dyDescent="0.3">
      <c r="A1482" t="s">
        <v>2048</v>
      </c>
      <c r="B1482" t="s">
        <v>172</v>
      </c>
      <c r="C1482" t="s">
        <v>172</v>
      </c>
      <c r="D1482" t="s">
        <v>172</v>
      </c>
      <c r="E1482" s="2">
        <v>1209</v>
      </c>
      <c r="F1482" s="301">
        <v>2.1391415124385152E-2</v>
      </c>
      <c r="G1482" s="14">
        <v>120.60606060606</v>
      </c>
      <c r="H1482" s="2">
        <v>1473</v>
      </c>
      <c r="I1482" s="301">
        <v>2.5029736618521665E-2</v>
      </c>
      <c r="J1482" s="14">
        <v>176.96969999999999</v>
      </c>
      <c r="L1482" t="s">
        <v>172</v>
      </c>
      <c r="M1482" t="s">
        <v>172</v>
      </c>
      <c r="N1482" t="s">
        <v>172</v>
      </c>
      <c r="O1482" s="2">
        <v>5089</v>
      </c>
      <c r="P1482" s="301">
        <v>3.8279851363752615E-2</v>
      </c>
      <c r="Q1482" s="14">
        <v>100</v>
      </c>
      <c r="R1482" s="2">
        <v>6030</v>
      </c>
      <c r="S1482" s="301">
        <v>4.4192983356174928E-2</v>
      </c>
      <c r="T1482" s="14">
        <v>95.757576</v>
      </c>
      <c r="V1482" t="s">
        <v>172</v>
      </c>
      <c r="W1482" t="s">
        <v>172</v>
      </c>
      <c r="X1482" t="s">
        <v>172</v>
      </c>
      <c r="Y1482" s="2">
        <v>1180829</v>
      </c>
      <c r="Z1482" s="27">
        <v>3.3000000000000002E-2</v>
      </c>
      <c r="AA1482" s="14">
        <v>1187.27</v>
      </c>
      <c r="AB1482" s="2">
        <v>1438224</v>
      </c>
      <c r="AC1482" s="27">
        <v>3.9E-2</v>
      </c>
      <c r="AD1482" s="14">
        <v>1383.03</v>
      </c>
    </row>
    <row r="1483" spans="1:30" x14ac:dyDescent="0.3">
      <c r="A1483" t="s">
        <v>2035</v>
      </c>
      <c r="B1483" t="s">
        <v>172</v>
      </c>
      <c r="C1483" t="s">
        <v>172</v>
      </c>
      <c r="D1483" t="s">
        <v>172</v>
      </c>
      <c r="E1483" s="2">
        <v>844</v>
      </c>
      <c r="F1483" s="301">
        <v>1.4933295587246541E-2</v>
      </c>
      <c r="G1483" s="14">
        <v>106.06060606060601</v>
      </c>
      <c r="H1483" s="2">
        <v>1084</v>
      </c>
      <c r="I1483" s="301">
        <v>1.8419711129991505E-2</v>
      </c>
      <c r="J1483" s="14">
        <v>144.24243200000001</v>
      </c>
      <c r="L1483" t="s">
        <v>172</v>
      </c>
      <c r="M1483" t="s">
        <v>172</v>
      </c>
      <c r="N1483" t="s">
        <v>172</v>
      </c>
      <c r="O1483" s="2">
        <v>3507</v>
      </c>
      <c r="P1483" s="301">
        <v>2.6379925080110122E-2</v>
      </c>
      <c r="Q1483" s="14">
        <v>73.3333333333333</v>
      </c>
      <c r="R1483" s="2">
        <v>3862</v>
      </c>
      <c r="S1483" s="301">
        <v>2.8304030136243375E-2</v>
      </c>
      <c r="T1483" s="14">
        <v>46.060607900000001</v>
      </c>
      <c r="V1483" t="s">
        <v>172</v>
      </c>
      <c r="W1483" t="s">
        <v>172</v>
      </c>
      <c r="X1483" t="s">
        <v>172</v>
      </c>
      <c r="Y1483" s="2">
        <v>840432</v>
      </c>
      <c r="Z1483" s="27">
        <v>2.4E-2</v>
      </c>
      <c r="AA1483" s="14">
        <v>598.17999999999995</v>
      </c>
      <c r="AB1483" s="2">
        <v>968078</v>
      </c>
      <c r="AC1483" s="27">
        <v>2.7E-2</v>
      </c>
      <c r="AD1483" s="14">
        <v>536.36</v>
      </c>
    </row>
    <row r="1484" spans="1:30" x14ac:dyDescent="0.3">
      <c r="A1484" t="s">
        <v>2047</v>
      </c>
      <c r="B1484" t="s">
        <v>172</v>
      </c>
      <c r="C1484" t="s">
        <v>172</v>
      </c>
      <c r="D1484" t="s">
        <v>172</v>
      </c>
      <c r="E1484" s="2">
        <v>217</v>
      </c>
      <c r="F1484" s="301">
        <v>3.8394847659152837E-3</v>
      </c>
      <c r="G1484" s="14">
        <v>60</v>
      </c>
      <c r="H1484" s="2">
        <v>191</v>
      </c>
      <c r="I1484" s="301">
        <v>3.2455395072217503E-3</v>
      </c>
      <c r="J1484" s="14">
        <v>67.272729999999996</v>
      </c>
      <c r="L1484" t="s">
        <v>172</v>
      </c>
      <c r="M1484" t="s">
        <v>172</v>
      </c>
      <c r="N1484" t="s">
        <v>172</v>
      </c>
      <c r="O1484" s="2">
        <v>496</v>
      </c>
      <c r="P1484" s="301">
        <v>3.730950339245686E-3</v>
      </c>
      <c r="Q1484" s="14">
        <v>96.969696969696898</v>
      </c>
      <c r="R1484" s="2">
        <v>531</v>
      </c>
      <c r="S1484" s="301">
        <v>3.8916209224094337E-3</v>
      </c>
      <c r="T1484" s="14">
        <v>106.060608</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2048</v>
      </c>
      <c r="B1485" t="s">
        <v>172</v>
      </c>
      <c r="C1485" t="s">
        <v>172</v>
      </c>
      <c r="D1485" t="s">
        <v>172</v>
      </c>
      <c r="E1485" s="2">
        <v>627</v>
      </c>
      <c r="F1485" s="301">
        <v>1.1093810821331257E-2</v>
      </c>
      <c r="G1485" s="14">
        <v>98.181818181818201</v>
      </c>
      <c r="H1485" s="2">
        <v>893</v>
      </c>
      <c r="I1485" s="301">
        <v>1.5174171622769754E-2</v>
      </c>
      <c r="J1485" s="14">
        <v>146.060608</v>
      </c>
      <c r="L1485" t="s">
        <v>172</v>
      </c>
      <c r="M1485" t="s">
        <v>172</v>
      </c>
      <c r="N1485" t="s">
        <v>172</v>
      </c>
      <c r="O1485" s="2">
        <v>3011</v>
      </c>
      <c r="P1485" s="301">
        <v>2.2648974740864438E-2</v>
      </c>
      <c r="Q1485" s="14">
        <v>120</v>
      </c>
      <c r="R1485" s="2">
        <v>3331</v>
      </c>
      <c r="S1485" s="301">
        <v>2.4412409213833943E-2</v>
      </c>
      <c r="T1485" s="14">
        <v>110.303032</v>
      </c>
      <c r="V1485" t="s">
        <v>172</v>
      </c>
      <c r="W1485" t="s">
        <v>172</v>
      </c>
      <c r="X1485" t="s">
        <v>172</v>
      </c>
      <c r="Y1485" s="2">
        <v>731284</v>
      </c>
      <c r="Z1485" s="27">
        <v>2.1000000000000001E-2</v>
      </c>
      <c r="AA1485" s="14">
        <v>1424.24</v>
      </c>
      <c r="AB1485" s="2">
        <v>840190</v>
      </c>
      <c r="AC1485" s="27">
        <v>2.3E-2</v>
      </c>
      <c r="AD1485" s="14">
        <v>1789.7</v>
      </c>
    </row>
    <row r="1486" spans="1:30" x14ac:dyDescent="0.3">
      <c r="A1486" t="s">
        <v>2036</v>
      </c>
      <c r="B1486" t="s">
        <v>172</v>
      </c>
      <c r="C1486" t="s">
        <v>172</v>
      </c>
      <c r="D1486" t="s">
        <v>172</v>
      </c>
      <c r="E1486" s="2">
        <v>28625</v>
      </c>
      <c r="F1486" s="301">
        <v>0.50647581301532252</v>
      </c>
      <c r="G1486" s="14">
        <v>402.42424242424198</v>
      </c>
      <c r="H1486" s="2">
        <v>30199</v>
      </c>
      <c r="I1486" s="301">
        <v>0.5131520815632965</v>
      </c>
      <c r="J1486" s="14">
        <v>386.66665599999999</v>
      </c>
      <c r="L1486" t="s">
        <v>172</v>
      </c>
      <c r="M1486" t="s">
        <v>172</v>
      </c>
      <c r="N1486" t="s">
        <v>172</v>
      </c>
      <c r="O1486" s="2">
        <v>66541</v>
      </c>
      <c r="P1486" s="301">
        <v>0.50052654541078068</v>
      </c>
      <c r="Q1486" s="14">
        <v>414.54545454545399</v>
      </c>
      <c r="R1486" s="2">
        <v>70181</v>
      </c>
      <c r="S1486" s="301">
        <v>0.51434622967159405</v>
      </c>
      <c r="T1486" s="14">
        <v>289.69695999999999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2031</v>
      </c>
      <c r="B1487" t="s">
        <v>172</v>
      </c>
      <c r="C1487" t="s">
        <v>172</v>
      </c>
      <c r="D1487" t="s">
        <v>172</v>
      </c>
      <c r="E1487" s="2">
        <v>7596</v>
      </c>
      <c r="F1487" s="301">
        <v>0.13439966028521888</v>
      </c>
      <c r="G1487" s="14">
        <v>268.48484848484799</v>
      </c>
      <c r="H1487" s="2">
        <v>7773</v>
      </c>
      <c r="I1487" s="301">
        <v>0.13208156329651657</v>
      </c>
      <c r="J1487" s="14">
        <v>293.33334400000001</v>
      </c>
      <c r="L1487" t="s">
        <v>172</v>
      </c>
      <c r="M1487" t="s">
        <v>172</v>
      </c>
      <c r="N1487" t="s">
        <v>172</v>
      </c>
      <c r="O1487" s="2">
        <v>15242</v>
      </c>
      <c r="P1487" s="301">
        <v>0.11465150215883618</v>
      </c>
      <c r="Q1487" s="14">
        <v>110.90909090909</v>
      </c>
      <c r="R1487" s="2">
        <v>15518</v>
      </c>
      <c r="S1487" s="301">
        <v>0.11372914025225912</v>
      </c>
      <c r="T1487" s="14">
        <v>44.242424</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2047</v>
      </c>
      <c r="B1488" t="s">
        <v>172</v>
      </c>
      <c r="C1488" t="s">
        <v>172</v>
      </c>
      <c r="D1488" t="s">
        <v>172</v>
      </c>
      <c r="E1488" s="2">
        <v>33</v>
      </c>
      <c r="F1488" s="301">
        <v>5.8388478007006617E-4</v>
      </c>
      <c r="G1488" s="14">
        <v>21.2121212121212</v>
      </c>
      <c r="H1488" s="2">
        <v>18</v>
      </c>
      <c r="I1488" s="301">
        <v>3.0586236193712828E-4</v>
      </c>
      <c r="J1488" s="14">
        <v>18.181818</v>
      </c>
      <c r="L1488" t="s">
        <v>172</v>
      </c>
      <c r="M1488" t="s">
        <v>172</v>
      </c>
      <c r="N1488" t="s">
        <v>172</v>
      </c>
      <c r="O1488" s="2">
        <v>118</v>
      </c>
      <c r="P1488" s="301">
        <v>8.8760512103022368E-4</v>
      </c>
      <c r="Q1488" s="14">
        <v>45.454545454545404</v>
      </c>
      <c r="R1488" s="2">
        <v>64</v>
      </c>
      <c r="S1488" s="301">
        <v>4.6904658951827451E-4</v>
      </c>
      <c r="T1488" s="14">
        <v>34.5454559</v>
      </c>
      <c r="V1488" t="s">
        <v>172</v>
      </c>
      <c r="W1488" t="s">
        <v>172</v>
      </c>
      <c r="X1488" t="s">
        <v>172</v>
      </c>
      <c r="Y1488" s="2">
        <v>22979</v>
      </c>
      <c r="Z1488" s="27">
        <v>1E-3</v>
      </c>
      <c r="AA1488" s="14">
        <v>681.21</v>
      </c>
      <c r="AB1488" s="2">
        <v>24483</v>
      </c>
      <c r="AC1488" s="27">
        <v>1E-3</v>
      </c>
      <c r="AD1488" s="14">
        <v>789.7</v>
      </c>
    </row>
    <row r="1489" spans="1:31" x14ac:dyDescent="0.3">
      <c r="A1489" t="s">
        <v>2048</v>
      </c>
      <c r="B1489" t="s">
        <v>172</v>
      </c>
      <c r="C1489" t="s">
        <v>172</v>
      </c>
      <c r="D1489" t="s">
        <v>172</v>
      </c>
      <c r="E1489" s="2">
        <v>7563</v>
      </c>
      <c r="F1489" s="301">
        <v>0.13381577550514881</v>
      </c>
      <c r="G1489" s="2">
        <v>264.84848484848402</v>
      </c>
      <c r="H1489" s="2">
        <v>7755</v>
      </c>
      <c r="I1489" s="301">
        <v>0.13177570093457944</v>
      </c>
      <c r="J1489" s="14">
        <v>293.33334400000001</v>
      </c>
      <c r="L1489" t="s">
        <v>172</v>
      </c>
      <c r="M1489" t="s">
        <v>172</v>
      </c>
      <c r="N1489" t="s">
        <v>172</v>
      </c>
      <c r="O1489" s="2">
        <v>15124</v>
      </c>
      <c r="P1489" s="301">
        <v>0.11376389703780596</v>
      </c>
      <c r="Q1489" s="2">
        <v>123.030303030303</v>
      </c>
      <c r="R1489" s="2">
        <v>15454</v>
      </c>
      <c r="S1489" s="301">
        <v>0.11326009366274084</v>
      </c>
      <c r="T1489" s="14">
        <v>50.303031900000001</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2032</v>
      </c>
      <c r="B1490" t="s">
        <v>172</v>
      </c>
      <c r="C1490" t="s">
        <v>172</v>
      </c>
      <c r="D1490" t="s">
        <v>172</v>
      </c>
      <c r="E1490" s="2">
        <v>7874</v>
      </c>
      <c r="F1490" s="301">
        <v>0.13931844722035458</v>
      </c>
      <c r="G1490" s="14">
        <v>296.969696969697</v>
      </c>
      <c r="H1490" s="2">
        <v>8241</v>
      </c>
      <c r="I1490" s="301">
        <v>0.14003398470688191</v>
      </c>
      <c r="J1490" s="14">
        <v>317.57574499999998</v>
      </c>
      <c r="L1490" t="s">
        <v>172</v>
      </c>
      <c r="M1490" t="s">
        <v>172</v>
      </c>
      <c r="N1490" t="s">
        <v>172</v>
      </c>
      <c r="O1490" s="2">
        <v>16144</v>
      </c>
      <c r="P1490" s="301">
        <v>0.12143641588060959</v>
      </c>
      <c r="Q1490" s="14">
        <v>258.78787878787801</v>
      </c>
      <c r="R1490" s="2">
        <v>16979</v>
      </c>
      <c r="S1490" s="301">
        <v>0.12443659442860598</v>
      </c>
      <c r="T1490" s="14">
        <v>264.24243200000001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2047</v>
      </c>
      <c r="B1491" t="s">
        <v>172</v>
      </c>
      <c r="C1491" t="s">
        <v>172</v>
      </c>
      <c r="D1491" t="s">
        <v>172</v>
      </c>
      <c r="E1491" s="2">
        <v>32</v>
      </c>
      <c r="F1491" s="301">
        <v>5.6619130188612478E-4</v>
      </c>
      <c r="G1491" s="14">
        <v>23.636363636363601</v>
      </c>
      <c r="H1491" s="2">
        <v>0</v>
      </c>
      <c r="I1491" s="301">
        <v>0</v>
      </c>
      <c r="J1491" s="14">
        <v>18.787877999999999</v>
      </c>
      <c r="L1491" t="s">
        <v>172</v>
      </c>
      <c r="M1491" t="s">
        <v>172</v>
      </c>
      <c r="N1491" t="s">
        <v>172</v>
      </c>
      <c r="O1491" s="2">
        <v>85</v>
      </c>
      <c r="P1491" s="301">
        <v>6.3937657023363569E-4</v>
      </c>
      <c r="Q1491" s="14">
        <v>43.636363636363598</v>
      </c>
      <c r="R1491" s="2">
        <v>73</v>
      </c>
      <c r="S1491" s="301">
        <v>5.350062661692818E-4</v>
      </c>
      <c r="T1491" s="14">
        <v>50.303031900000001</v>
      </c>
      <c r="V1491" t="s">
        <v>172</v>
      </c>
      <c r="W1491" t="s">
        <v>172</v>
      </c>
      <c r="X1491" t="s">
        <v>172</v>
      </c>
      <c r="Y1491" s="2">
        <v>31516</v>
      </c>
      <c r="Z1491" s="27">
        <v>1E-3</v>
      </c>
      <c r="AA1491" s="14">
        <v>925.45</v>
      </c>
      <c r="AB1491" s="2">
        <v>32258</v>
      </c>
      <c r="AC1491" s="27">
        <v>1E-3</v>
      </c>
      <c r="AD1491" s="14">
        <v>1048.48</v>
      </c>
    </row>
    <row r="1492" spans="1:31" x14ac:dyDescent="0.3">
      <c r="A1492" t="s">
        <v>2048</v>
      </c>
      <c r="B1492" t="s">
        <v>172</v>
      </c>
      <c r="C1492" t="s">
        <v>172</v>
      </c>
      <c r="D1492" t="s">
        <v>172</v>
      </c>
      <c r="E1492" s="2">
        <v>7842</v>
      </c>
      <c r="F1492" s="301">
        <v>0.13875225591846846</v>
      </c>
      <c r="G1492" s="14">
        <v>300</v>
      </c>
      <c r="H1492" s="2">
        <v>8241</v>
      </c>
      <c r="I1492" s="301">
        <v>0.14003398470688191</v>
      </c>
      <c r="J1492" s="14">
        <v>317.57574499999998</v>
      </c>
      <c r="L1492" t="s">
        <v>172</v>
      </c>
      <c r="M1492" t="s">
        <v>172</v>
      </c>
      <c r="N1492" t="s">
        <v>172</v>
      </c>
      <c r="O1492" s="2">
        <v>16059</v>
      </c>
      <c r="P1492" s="301">
        <v>0.12079703931037596</v>
      </c>
      <c r="Q1492" s="14">
        <v>270.30303030303003</v>
      </c>
      <c r="R1492" s="2">
        <v>16906</v>
      </c>
      <c r="S1492" s="301">
        <v>0.1239015881624367</v>
      </c>
      <c r="T1492" s="14">
        <v>278.18182400000001</v>
      </c>
      <c r="V1492" t="s">
        <v>172</v>
      </c>
      <c r="W1492" t="s">
        <v>172</v>
      </c>
      <c r="X1492" t="s">
        <v>172</v>
      </c>
      <c r="Y1492" s="2">
        <v>4605928</v>
      </c>
      <c r="Z1492" s="27">
        <v>0.13</v>
      </c>
      <c r="AA1492" s="14">
        <v>1169.7</v>
      </c>
      <c r="AB1492" s="2">
        <v>4658521</v>
      </c>
      <c r="AC1492" s="27">
        <v>0.128</v>
      </c>
      <c r="AD1492" s="14">
        <v>1229.7</v>
      </c>
    </row>
    <row r="1493" spans="1:31" x14ac:dyDescent="0.3">
      <c r="A1493" t="s">
        <v>2033</v>
      </c>
      <c r="B1493" t="s">
        <v>172</v>
      </c>
      <c r="C1493" t="s">
        <v>172</v>
      </c>
      <c r="D1493" t="s">
        <v>172</v>
      </c>
      <c r="E1493" s="2">
        <v>10259</v>
      </c>
      <c r="F1493" s="301">
        <v>0.18151739268905481</v>
      </c>
      <c r="G1493" s="14">
        <v>305.45454545454498</v>
      </c>
      <c r="H1493" s="2">
        <v>11074</v>
      </c>
      <c r="I1493" s="301">
        <v>0.1881733220050977</v>
      </c>
      <c r="J1493" s="14">
        <v>316.36364700000001</v>
      </c>
      <c r="L1493" t="s">
        <v>172</v>
      </c>
      <c r="M1493" t="s">
        <v>172</v>
      </c>
      <c r="N1493" t="s">
        <v>172</v>
      </c>
      <c r="O1493" s="2">
        <v>25488</v>
      </c>
      <c r="P1493" s="301">
        <v>0.19172270614252832</v>
      </c>
      <c r="Q1493" s="14">
        <v>240</v>
      </c>
      <c r="R1493" s="2">
        <v>26502</v>
      </c>
      <c r="S1493" s="301">
        <v>0.19422926117833297</v>
      </c>
      <c r="T1493" s="14">
        <v>275.15152</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2047</v>
      </c>
      <c r="B1494" t="s">
        <v>172</v>
      </c>
      <c r="C1494" t="s">
        <v>172</v>
      </c>
      <c r="D1494" t="s">
        <v>172</v>
      </c>
      <c r="E1494" s="2">
        <v>165</v>
      </c>
      <c r="F1494" s="301">
        <v>2.9194239003503307E-3</v>
      </c>
      <c r="G1494" s="14">
        <v>53.939393939393902</v>
      </c>
      <c r="H1494" s="2">
        <v>362</v>
      </c>
      <c r="I1494" s="301">
        <v>6.1512319456244694E-3</v>
      </c>
      <c r="J1494" s="14">
        <v>100</v>
      </c>
      <c r="L1494" t="s">
        <v>172</v>
      </c>
      <c r="M1494" t="s">
        <v>172</v>
      </c>
      <c r="N1494" t="s">
        <v>172</v>
      </c>
      <c r="O1494" s="2">
        <v>476</v>
      </c>
      <c r="P1494" s="301">
        <v>3.58050879330836E-3</v>
      </c>
      <c r="Q1494" s="14">
        <v>91.515151515151501</v>
      </c>
      <c r="R1494" s="2">
        <v>665</v>
      </c>
      <c r="S1494" s="301">
        <v>4.8736872192133209E-3</v>
      </c>
      <c r="T1494" s="14">
        <v>121.818184</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2048</v>
      </c>
      <c r="B1495" t="s">
        <v>172</v>
      </c>
      <c r="C1495" t="s">
        <v>172</v>
      </c>
      <c r="D1495" t="s">
        <v>172</v>
      </c>
      <c r="E1495" s="2">
        <v>10094</v>
      </c>
      <c r="F1495" s="301">
        <v>0.17859796878870449</v>
      </c>
      <c r="G1495" s="14">
        <v>293.33333333333297</v>
      </c>
      <c r="H1495" s="2">
        <v>10712</v>
      </c>
      <c r="I1495" s="301">
        <v>0.18202209005947323</v>
      </c>
      <c r="J1495" s="14">
        <v>310.90910000000002</v>
      </c>
      <c r="L1495" t="s">
        <v>172</v>
      </c>
      <c r="M1495" t="s">
        <v>172</v>
      </c>
      <c r="N1495" t="s">
        <v>172</v>
      </c>
      <c r="O1495" s="2">
        <v>25012</v>
      </c>
      <c r="P1495" s="301">
        <v>0.18814219734921997</v>
      </c>
      <c r="Q1495" s="14">
        <v>246.06060606060601</v>
      </c>
      <c r="R1495" s="2">
        <v>25837</v>
      </c>
      <c r="S1495" s="301">
        <v>0.18935557395911967</v>
      </c>
      <c r="T1495" s="14">
        <v>297.57574499999998</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2034</v>
      </c>
      <c r="B1496" t="s">
        <v>172</v>
      </c>
      <c r="C1496" t="s">
        <v>172</v>
      </c>
      <c r="D1496" t="s">
        <v>172</v>
      </c>
      <c r="E1496" s="2">
        <v>1589</v>
      </c>
      <c r="F1496" s="301">
        <v>2.8114936834282882E-2</v>
      </c>
      <c r="G1496" s="14">
        <v>106.666666666666</v>
      </c>
      <c r="H1496" s="2">
        <v>1695</v>
      </c>
      <c r="I1496" s="301">
        <v>2.8802039082412915E-2</v>
      </c>
      <c r="J1496" s="14">
        <v>136.96969999999999</v>
      </c>
      <c r="L1496" t="s">
        <v>172</v>
      </c>
      <c r="M1496" t="s">
        <v>172</v>
      </c>
      <c r="N1496" t="s">
        <v>172</v>
      </c>
      <c r="O1496" s="2">
        <v>5649</v>
      </c>
      <c r="P1496" s="301">
        <v>4.2492214649997744E-2</v>
      </c>
      <c r="Q1496" s="14">
        <v>78.181818181818201</v>
      </c>
      <c r="R1496" s="2">
        <v>6649</v>
      </c>
      <c r="S1496" s="301">
        <v>4.8729543339171989E-2</v>
      </c>
      <c r="T1496" s="14">
        <v>96.969695999999999</v>
      </c>
      <c r="V1496" t="s">
        <v>172</v>
      </c>
      <c r="W1496" t="s">
        <v>172</v>
      </c>
      <c r="X1496" t="s">
        <v>172</v>
      </c>
      <c r="Y1496" s="2">
        <v>1427224</v>
      </c>
      <c r="Z1496" s="27">
        <v>0.04</v>
      </c>
      <c r="AA1496" s="14">
        <v>443.64</v>
      </c>
      <c r="AB1496" s="2">
        <v>1735473</v>
      </c>
      <c r="AC1496" s="27">
        <v>4.8000000000000001E-2</v>
      </c>
      <c r="AD1496" s="14">
        <v>575.76</v>
      </c>
    </row>
    <row r="1497" spans="1:31" x14ac:dyDescent="0.3">
      <c r="A1497" t="s">
        <v>2047</v>
      </c>
      <c r="B1497" t="s">
        <v>172</v>
      </c>
      <c r="C1497" t="s">
        <v>172</v>
      </c>
      <c r="D1497" t="s">
        <v>172</v>
      </c>
      <c r="E1497" s="2">
        <v>159</v>
      </c>
      <c r="F1497" s="301">
        <v>2.8132630312466826E-3</v>
      </c>
      <c r="G1497" s="14">
        <v>65.454545454545396</v>
      </c>
      <c r="H1497" s="2">
        <v>135</v>
      </c>
      <c r="I1497" s="301">
        <v>2.2939677145284621E-3</v>
      </c>
      <c r="J1497" s="14">
        <v>67.878784199999998</v>
      </c>
      <c r="L1497" t="s">
        <v>172</v>
      </c>
      <c r="M1497" t="s">
        <v>172</v>
      </c>
      <c r="N1497" t="s">
        <v>172</v>
      </c>
      <c r="O1497" s="2">
        <v>371</v>
      </c>
      <c r="P1497" s="301">
        <v>2.7906906771373984E-3</v>
      </c>
      <c r="Q1497" s="14">
        <v>87.878787878787904</v>
      </c>
      <c r="R1497" s="2">
        <v>318</v>
      </c>
      <c r="S1497" s="301">
        <v>2.3305752416689263E-3</v>
      </c>
      <c r="T1497" s="14">
        <v>94.545455899999993</v>
      </c>
      <c r="V1497" t="s">
        <v>172</v>
      </c>
      <c r="W1497" t="s">
        <v>172</v>
      </c>
      <c r="X1497" t="s">
        <v>172</v>
      </c>
      <c r="Y1497" s="2">
        <v>80307</v>
      </c>
      <c r="Z1497" s="27">
        <v>2E-3</v>
      </c>
      <c r="AA1497" s="14">
        <v>1112.1199999999999</v>
      </c>
      <c r="AB1497" s="2">
        <v>85876</v>
      </c>
      <c r="AC1497" s="27">
        <v>2E-3</v>
      </c>
      <c r="AD1497" s="14">
        <v>1426.67</v>
      </c>
    </row>
    <row r="1498" spans="1:31" x14ac:dyDescent="0.3">
      <c r="A1498" t="s">
        <v>2048</v>
      </c>
      <c r="B1498" t="s">
        <v>172</v>
      </c>
      <c r="C1498" t="s">
        <v>172</v>
      </c>
      <c r="D1498" t="s">
        <v>172</v>
      </c>
      <c r="E1498" s="2">
        <v>1430</v>
      </c>
      <c r="F1498" s="301">
        <v>2.53016738030362E-2</v>
      </c>
      <c r="G1498" s="14">
        <v>102.424242424242</v>
      </c>
      <c r="H1498" s="2">
        <v>1560</v>
      </c>
      <c r="I1498" s="301">
        <v>2.6508071367884453E-2</v>
      </c>
      <c r="J1498" s="14">
        <v>141.81817599999999</v>
      </c>
      <c r="L1498" t="s">
        <v>172</v>
      </c>
      <c r="M1498" t="s">
        <v>172</v>
      </c>
      <c r="N1498" t="s">
        <v>172</v>
      </c>
      <c r="O1498" s="2">
        <v>5278</v>
      </c>
      <c r="P1498" s="301">
        <v>3.9701523972860343E-2</v>
      </c>
      <c r="Q1498" s="14">
        <v>119.39393939393899</v>
      </c>
      <c r="R1498" s="2">
        <v>6331</v>
      </c>
      <c r="S1498" s="301">
        <v>4.639896809750306E-2</v>
      </c>
      <c r="T1498" s="14">
        <v>132.72728000000001</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2035</v>
      </c>
      <c r="B1499" t="s">
        <v>172</v>
      </c>
      <c r="C1499" t="s">
        <v>172</v>
      </c>
      <c r="D1499" t="s">
        <v>172</v>
      </c>
      <c r="E1499" s="2">
        <v>1307</v>
      </c>
      <c r="F1499" s="301">
        <v>2.3125375986411408E-2</v>
      </c>
      <c r="G1499" s="14">
        <v>143.030303030303</v>
      </c>
      <c r="H1499" s="2">
        <v>1416</v>
      </c>
      <c r="I1499" s="301">
        <v>2.4061172472387427E-2</v>
      </c>
      <c r="J1499" s="14">
        <v>143.636368</v>
      </c>
      <c r="L1499" t="s">
        <v>172</v>
      </c>
      <c r="M1499" t="s">
        <v>172</v>
      </c>
      <c r="N1499" t="s">
        <v>172</v>
      </c>
      <c r="O1499" s="2">
        <v>4018</v>
      </c>
      <c r="P1499" s="301">
        <v>3.0223706578808802E-2</v>
      </c>
      <c r="Q1499" s="14">
        <v>87.878787878787904</v>
      </c>
      <c r="R1499" s="2">
        <v>4533</v>
      </c>
      <c r="S1499" s="301">
        <v>3.3221690473224035E-2</v>
      </c>
      <c r="T1499" s="14">
        <v>89.090909999999994</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2047</v>
      </c>
      <c r="B1500" t="s">
        <v>172</v>
      </c>
      <c r="C1500" t="s">
        <v>172</v>
      </c>
      <c r="D1500" t="s">
        <v>172</v>
      </c>
      <c r="E1500" s="2">
        <v>285</v>
      </c>
      <c r="F1500" s="301">
        <v>5.0426412824232988E-3</v>
      </c>
      <c r="G1500" s="14">
        <v>84.242424242424207</v>
      </c>
      <c r="H1500" s="2">
        <v>175</v>
      </c>
      <c r="I1500" s="301">
        <v>2.9736618521665251E-3</v>
      </c>
      <c r="J1500" s="14">
        <v>53.3333321</v>
      </c>
      <c r="L1500" t="s">
        <v>172</v>
      </c>
      <c r="M1500" t="s">
        <v>172</v>
      </c>
      <c r="N1500" t="s">
        <v>172</v>
      </c>
      <c r="O1500" s="2">
        <v>616</v>
      </c>
      <c r="P1500" s="301">
        <v>4.6335996148696426E-3</v>
      </c>
      <c r="Q1500" s="14">
        <v>118.181818181818</v>
      </c>
      <c r="R1500" s="2">
        <v>450</v>
      </c>
      <c r="S1500" s="301">
        <v>3.2979838325503676E-3</v>
      </c>
      <c r="T1500" s="14">
        <v>93.939390000000003</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2048</v>
      </c>
      <c r="B1501" t="s">
        <v>172</v>
      </c>
      <c r="C1501" t="s">
        <v>172</v>
      </c>
      <c r="D1501" t="s">
        <v>172</v>
      </c>
      <c r="E1501" s="2">
        <v>1022</v>
      </c>
      <c r="F1501" s="301">
        <v>1.808273470398811E-2</v>
      </c>
      <c r="G1501" s="14">
        <v>134.54545454545399</v>
      </c>
      <c r="H1501" s="2">
        <v>1241</v>
      </c>
      <c r="I1501" s="301">
        <v>2.1087510620220899E-2</v>
      </c>
      <c r="J1501" s="14">
        <v>151.515152</v>
      </c>
      <c r="L1501" t="s">
        <v>172</v>
      </c>
      <c r="M1501" t="s">
        <v>172</v>
      </c>
      <c r="N1501" t="s">
        <v>172</v>
      </c>
      <c r="O1501" s="2">
        <v>3402</v>
      </c>
      <c r="P1501" s="301">
        <v>2.5590106963939162E-2</v>
      </c>
      <c r="Q1501" s="14">
        <v>149.09090909090901</v>
      </c>
      <c r="R1501" s="2">
        <v>4083</v>
      </c>
      <c r="S1501" s="301">
        <v>2.9923706640673668E-2</v>
      </c>
      <c r="T1501" s="14">
        <v>121.818184</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2049</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172</v>
      </c>
      <c r="C1504" t="s">
        <v>172</v>
      </c>
      <c r="D1504" t="s">
        <v>172</v>
      </c>
      <c r="E1504" s="304" t="s">
        <v>1706</v>
      </c>
      <c r="F1504" s="304"/>
      <c r="G1504" s="304" t="s">
        <v>1707</v>
      </c>
      <c r="H1504" s="304" t="s">
        <v>1706</v>
      </c>
      <c r="I1504" s="304"/>
      <c r="J1504" s="304" t="s">
        <v>1707</v>
      </c>
      <c r="K1504" t="s">
        <v>172</v>
      </c>
      <c r="L1504" t="s">
        <v>172</v>
      </c>
      <c r="M1504" t="s">
        <v>172</v>
      </c>
      <c r="N1504" t="s">
        <v>172</v>
      </c>
      <c r="O1504" s="304" t="s">
        <v>1706</v>
      </c>
      <c r="P1504" s="304"/>
      <c r="Q1504" s="304" t="s">
        <v>1707</v>
      </c>
      <c r="R1504" s="304" t="s">
        <v>1706</v>
      </c>
      <c r="S1504" s="304"/>
      <c r="T1504" s="304" t="s">
        <v>1707</v>
      </c>
      <c r="U1504" t="s">
        <v>172</v>
      </c>
      <c r="V1504" t="s">
        <v>172</v>
      </c>
      <c r="W1504" t="s">
        <v>172</v>
      </c>
      <c r="X1504" t="s">
        <v>172</v>
      </c>
      <c r="Y1504" s="207" t="s">
        <v>1706</v>
      </c>
      <c r="Z1504" s="207"/>
      <c r="AA1504" s="207" t="s">
        <v>1707</v>
      </c>
      <c r="AB1504" s="207" t="s">
        <v>1706</v>
      </c>
      <c r="AC1504" s="207"/>
      <c r="AD1504" s="207" t="s">
        <v>1707</v>
      </c>
      <c r="AE1504" t="s">
        <v>172</v>
      </c>
    </row>
    <row r="1505" spans="1:30" x14ac:dyDescent="0.3">
      <c r="A1505" t="s">
        <v>174</v>
      </c>
      <c r="B1505" t="s">
        <v>172</v>
      </c>
      <c r="C1505" t="s">
        <v>172</v>
      </c>
      <c r="D1505" t="s">
        <v>172</v>
      </c>
      <c r="E1505" s="2">
        <v>41332</v>
      </c>
      <c r="F1505" t="s">
        <v>172</v>
      </c>
      <c r="G1505" s="14">
        <v>380</v>
      </c>
      <c r="H1505" s="2">
        <v>43139</v>
      </c>
      <c r="I1505" t="s">
        <v>172</v>
      </c>
      <c r="J1505" s="14">
        <v>416.96969999999999</v>
      </c>
      <c r="L1505" t="s">
        <v>172</v>
      </c>
      <c r="M1505" t="s">
        <v>172</v>
      </c>
      <c r="N1505" t="s">
        <v>172</v>
      </c>
      <c r="O1505" s="2">
        <v>101979</v>
      </c>
      <c r="P1505" t="s">
        <v>172</v>
      </c>
      <c r="Q1505" s="14">
        <v>395.75757575757501</v>
      </c>
      <c r="R1505" s="2">
        <v>105108</v>
      </c>
      <c r="S1505" t="s">
        <v>172</v>
      </c>
      <c r="T1505" s="14">
        <v>333.93939999999998</v>
      </c>
      <c r="V1505" t="s">
        <v>172</v>
      </c>
      <c r="W1505" t="s">
        <v>172</v>
      </c>
      <c r="X1505" t="s">
        <v>172</v>
      </c>
      <c r="Y1505" s="2">
        <v>28753451</v>
      </c>
      <c r="Z1505" s="27" t="s">
        <v>172</v>
      </c>
      <c r="AA1505" s="14">
        <v>1511.52</v>
      </c>
      <c r="AB1505" s="2">
        <v>29895819</v>
      </c>
      <c r="AC1505" s="27" t="s">
        <v>172</v>
      </c>
      <c r="AD1505" s="14">
        <v>1806.06</v>
      </c>
    </row>
    <row r="1506" spans="1:30" x14ac:dyDescent="0.3">
      <c r="A1506" t="s">
        <v>2028</v>
      </c>
      <c r="B1506" t="s">
        <v>172</v>
      </c>
      <c r="C1506" t="s">
        <v>172</v>
      </c>
      <c r="D1506" t="s">
        <v>172</v>
      </c>
      <c r="E1506" s="2">
        <v>20303</v>
      </c>
      <c r="F1506" s="301">
        <v>0.49121745862769767</v>
      </c>
      <c r="G1506" s="14">
        <v>322.42424242424198</v>
      </c>
      <c r="H1506" s="2">
        <v>20713</v>
      </c>
      <c r="I1506" s="301">
        <v>0.48014557592897378</v>
      </c>
      <c r="J1506" s="14">
        <v>420</v>
      </c>
      <c r="L1506" t="s">
        <v>172</v>
      </c>
      <c r="M1506" t="s">
        <v>172</v>
      </c>
      <c r="N1506" t="s">
        <v>172</v>
      </c>
      <c r="O1506" s="2">
        <v>50680</v>
      </c>
      <c r="P1506" s="301">
        <v>0.49696506143421687</v>
      </c>
      <c r="Q1506" s="14">
        <v>196.363636363636</v>
      </c>
      <c r="R1506" s="2">
        <v>50445</v>
      </c>
      <c r="S1506" s="301">
        <v>0.47993492407809113</v>
      </c>
      <c r="T1506" s="14">
        <v>230.909088</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2032</v>
      </c>
      <c r="B1507" t="s">
        <v>172</v>
      </c>
      <c r="C1507" t="s">
        <v>172</v>
      </c>
      <c r="D1507" t="s">
        <v>172</v>
      </c>
      <c r="E1507" s="2">
        <v>8632</v>
      </c>
      <c r="F1507" s="301">
        <v>0.20884544662731055</v>
      </c>
      <c r="G1507" s="14">
        <v>309.09090909090901</v>
      </c>
      <c r="H1507" s="2">
        <v>8351</v>
      </c>
      <c r="I1507" s="301">
        <v>0.19358353230255684</v>
      </c>
      <c r="J1507" s="14">
        <v>294.54544099999998</v>
      </c>
      <c r="L1507" t="s">
        <v>172</v>
      </c>
      <c r="M1507" t="s">
        <v>172</v>
      </c>
      <c r="N1507" t="s">
        <v>172</v>
      </c>
      <c r="O1507" s="2">
        <v>17134</v>
      </c>
      <c r="P1507" s="301">
        <v>0.16801498347699037</v>
      </c>
      <c r="Q1507" s="14">
        <v>133.939393939393</v>
      </c>
      <c r="R1507" s="2">
        <v>16548</v>
      </c>
      <c r="S1507" s="301">
        <v>0.15743806370590249</v>
      </c>
      <c r="T1507" s="14">
        <v>134.545456</v>
      </c>
      <c r="V1507" t="s">
        <v>172</v>
      </c>
      <c r="W1507" t="s">
        <v>172</v>
      </c>
      <c r="X1507" t="s">
        <v>172</v>
      </c>
      <c r="Y1507" s="2">
        <v>4741790</v>
      </c>
      <c r="Z1507" s="27">
        <v>0.16500000000000001</v>
      </c>
      <c r="AA1507" s="14">
        <v>1612.12</v>
      </c>
      <c r="AB1507" s="2">
        <v>4816407</v>
      </c>
      <c r="AC1507" s="27">
        <v>0.161</v>
      </c>
      <c r="AD1507" s="14">
        <v>1673.33</v>
      </c>
    </row>
    <row r="1508" spans="1:30" x14ac:dyDescent="0.3">
      <c r="A1508" t="s">
        <v>2050</v>
      </c>
      <c r="B1508" t="s">
        <v>172</v>
      </c>
      <c r="C1508" t="s">
        <v>172</v>
      </c>
      <c r="D1508" t="s">
        <v>172</v>
      </c>
      <c r="E1508" s="2">
        <v>198</v>
      </c>
      <c r="F1508" s="301">
        <v>4.7904771121649089E-3</v>
      </c>
      <c r="G1508" s="14">
        <v>87.272727272727195</v>
      </c>
      <c r="H1508" s="2">
        <v>436</v>
      </c>
      <c r="I1508" s="301">
        <v>1.0106863858689353E-2</v>
      </c>
      <c r="J1508" s="14">
        <v>140</v>
      </c>
      <c r="L1508" t="s">
        <v>172</v>
      </c>
      <c r="M1508" t="s">
        <v>172</v>
      </c>
      <c r="N1508" t="s">
        <v>172</v>
      </c>
      <c r="O1508" s="2">
        <v>445</v>
      </c>
      <c r="P1508" s="301">
        <v>4.3636434952294099E-3</v>
      </c>
      <c r="Q1508" s="14">
        <v>96.969696969696898</v>
      </c>
      <c r="R1508" s="2">
        <v>656</v>
      </c>
      <c r="S1508" s="301">
        <v>6.2411995281044259E-3</v>
      </c>
      <c r="T1508" s="14">
        <v>165.454544</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2051</v>
      </c>
      <c r="B1509" t="s">
        <v>172</v>
      </c>
      <c r="C1509" t="s">
        <v>172</v>
      </c>
      <c r="D1509" t="s">
        <v>172</v>
      </c>
      <c r="E1509" s="2">
        <v>8434</v>
      </c>
      <c r="F1509" s="301">
        <v>0.20405496951514565</v>
      </c>
      <c r="G1509" s="14">
        <v>291.51515151515099</v>
      </c>
      <c r="H1509" s="2">
        <v>7915</v>
      </c>
      <c r="I1509" s="301">
        <v>0.18347666844386751</v>
      </c>
      <c r="J1509" s="14">
        <v>290.30304000000001</v>
      </c>
      <c r="L1509" t="s">
        <v>172</v>
      </c>
      <c r="M1509" t="s">
        <v>172</v>
      </c>
      <c r="N1509" t="s">
        <v>172</v>
      </c>
      <c r="O1509" s="2">
        <v>16689</v>
      </c>
      <c r="P1509" s="301">
        <v>0.16365133998176096</v>
      </c>
      <c r="Q1509" s="14">
        <v>173.333333333333</v>
      </c>
      <c r="R1509" s="2">
        <v>15892</v>
      </c>
      <c r="S1509" s="301">
        <v>0.15119686417779807</v>
      </c>
      <c r="T1509" s="14">
        <v>212.72728000000001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2033</v>
      </c>
      <c r="B1510" t="s">
        <v>172</v>
      </c>
      <c r="C1510" t="s">
        <v>172</v>
      </c>
      <c r="D1510" t="s">
        <v>172</v>
      </c>
      <c r="E1510" s="2">
        <v>9561</v>
      </c>
      <c r="F1510" s="301">
        <v>0.23132197812832672</v>
      </c>
      <c r="G1510" s="14">
        <v>252.12121212121201</v>
      </c>
      <c r="H1510" s="2">
        <v>9792</v>
      </c>
      <c r="I1510" s="301">
        <v>0.22698718097313336</v>
      </c>
      <c r="J1510" s="14">
        <v>298.18182400000001</v>
      </c>
      <c r="L1510" t="s">
        <v>172</v>
      </c>
      <c r="M1510" t="s">
        <v>172</v>
      </c>
      <c r="N1510" t="s">
        <v>172</v>
      </c>
      <c r="O1510" s="2">
        <v>24669</v>
      </c>
      <c r="P1510" s="301">
        <v>0.24190274468272879</v>
      </c>
      <c r="Q1510" s="14">
        <v>168.48484848484799</v>
      </c>
      <c r="R1510" s="2">
        <v>23784</v>
      </c>
      <c r="S1510" s="301">
        <v>0.22628153898846901</v>
      </c>
      <c r="T1510" s="14">
        <v>184.24243200000001</v>
      </c>
      <c r="V1510" t="s">
        <v>172</v>
      </c>
      <c r="W1510" t="s">
        <v>172</v>
      </c>
      <c r="X1510" t="s">
        <v>172</v>
      </c>
      <c r="Y1510" s="2">
        <v>7195146</v>
      </c>
      <c r="Z1510" s="27">
        <v>0.25</v>
      </c>
      <c r="AA1510" s="14">
        <v>1241.21</v>
      </c>
      <c r="AB1510" s="2">
        <v>7309447</v>
      </c>
      <c r="AC1510" s="27">
        <v>0.24399999999999999</v>
      </c>
      <c r="AD1510" s="14">
        <v>1505.45</v>
      </c>
    </row>
    <row r="1511" spans="1:30" x14ac:dyDescent="0.3">
      <c r="A1511" t="s">
        <v>2050</v>
      </c>
      <c r="B1511" t="s">
        <v>172</v>
      </c>
      <c r="C1511" t="s">
        <v>172</v>
      </c>
      <c r="D1511" t="s">
        <v>172</v>
      </c>
      <c r="E1511" s="2">
        <v>600</v>
      </c>
      <c r="F1511" s="301">
        <v>1.4516597309590632E-2</v>
      </c>
      <c r="G1511" s="14">
        <v>105.454545454545</v>
      </c>
      <c r="H1511" s="2">
        <v>204</v>
      </c>
      <c r="I1511" s="301">
        <v>4.7288996036069448E-3</v>
      </c>
      <c r="J1511" s="14">
        <v>66.666664100000006</v>
      </c>
      <c r="L1511" t="s">
        <v>172</v>
      </c>
      <c r="M1511" t="s">
        <v>172</v>
      </c>
      <c r="N1511" t="s">
        <v>172</v>
      </c>
      <c r="O1511" s="2">
        <v>1307</v>
      </c>
      <c r="P1511" s="301">
        <v>1.2816364153404132E-2</v>
      </c>
      <c r="Q1511" s="14">
        <v>154.54545454545399</v>
      </c>
      <c r="R1511" s="2">
        <v>662</v>
      </c>
      <c r="S1511" s="301">
        <v>6.2982836701297711E-3</v>
      </c>
      <c r="T1511" s="14">
        <v>115.151512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2051</v>
      </c>
      <c r="B1512" t="s">
        <v>172</v>
      </c>
      <c r="C1512" t="s">
        <v>172</v>
      </c>
      <c r="D1512" t="s">
        <v>172</v>
      </c>
      <c r="E1512" s="2">
        <v>8961</v>
      </c>
      <c r="F1512" s="301">
        <v>0.2168053808187361</v>
      </c>
      <c r="G1512" s="14">
        <v>260.60606060606</v>
      </c>
      <c r="H1512" s="2">
        <v>9588</v>
      </c>
      <c r="I1512" s="301">
        <v>0.22225828136952641</v>
      </c>
      <c r="J1512" s="14">
        <v>272.72726399999999</v>
      </c>
      <c r="L1512" t="s">
        <v>172</v>
      </c>
      <c r="M1512" t="s">
        <v>172</v>
      </c>
      <c r="N1512" t="s">
        <v>172</v>
      </c>
      <c r="O1512" s="2">
        <v>23362</v>
      </c>
      <c r="P1512" s="301">
        <v>0.22908638052932467</v>
      </c>
      <c r="Q1512" s="14">
        <v>221.81818181818099</v>
      </c>
      <c r="R1512" s="2">
        <v>23122</v>
      </c>
      <c r="S1512" s="301">
        <v>0.21998325531833923</v>
      </c>
      <c r="T1512" s="14">
        <v>224.84848</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2034</v>
      </c>
      <c r="B1513" t="s">
        <v>172</v>
      </c>
      <c r="C1513" t="s">
        <v>172</v>
      </c>
      <c r="D1513" t="s">
        <v>172</v>
      </c>
      <c r="E1513" s="2">
        <v>1266</v>
      </c>
      <c r="F1513" s="301">
        <v>3.0630020323236234E-2</v>
      </c>
      <c r="G1513" s="14">
        <v>115.757575757575</v>
      </c>
      <c r="H1513" s="2">
        <v>1486</v>
      </c>
      <c r="I1513" s="301">
        <v>3.4446788289019217E-2</v>
      </c>
      <c r="J1513" s="14">
        <v>176.363632</v>
      </c>
      <c r="L1513" t="s">
        <v>172</v>
      </c>
      <c r="M1513" t="s">
        <v>172</v>
      </c>
      <c r="N1513" t="s">
        <v>172</v>
      </c>
      <c r="O1513" s="2">
        <v>5370</v>
      </c>
      <c r="P1513" s="301">
        <v>5.2657900155914455E-2</v>
      </c>
      <c r="Q1513" s="14">
        <v>72.121212121212096</v>
      </c>
      <c r="R1513" s="2">
        <v>6251</v>
      </c>
      <c r="S1513" s="301">
        <v>5.9472161966738976E-2</v>
      </c>
      <c r="T1513" s="14">
        <v>73.333335899999994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2050</v>
      </c>
      <c r="B1514" t="s">
        <v>172</v>
      </c>
      <c r="C1514" t="s">
        <v>172</v>
      </c>
      <c r="D1514" t="s">
        <v>172</v>
      </c>
      <c r="E1514" s="2">
        <v>96</v>
      </c>
      <c r="F1514" s="301">
        <v>2.322655569534501E-3</v>
      </c>
      <c r="G1514" s="14">
        <v>47.272727272727202</v>
      </c>
      <c r="H1514" s="2">
        <v>65</v>
      </c>
      <c r="I1514" s="301">
        <v>1.5067572266394677E-3</v>
      </c>
      <c r="J1514" s="14">
        <v>25.454546000000001</v>
      </c>
      <c r="L1514" t="s">
        <v>172</v>
      </c>
      <c r="M1514" t="s">
        <v>172</v>
      </c>
      <c r="N1514" t="s">
        <v>172</v>
      </c>
      <c r="O1514" s="2">
        <v>431</v>
      </c>
      <c r="P1514" s="301">
        <v>4.2263603290873608E-3</v>
      </c>
      <c r="Q1514" s="14">
        <v>72.727272727272705</v>
      </c>
      <c r="R1514" s="2">
        <v>273</v>
      </c>
      <c r="S1514" s="301">
        <v>2.597328462153214E-3</v>
      </c>
      <c r="T1514" s="14">
        <v>62.4242439</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2051</v>
      </c>
      <c r="B1515" t="s">
        <v>172</v>
      </c>
      <c r="C1515" t="s">
        <v>172</v>
      </c>
      <c r="D1515" t="s">
        <v>172</v>
      </c>
      <c r="E1515" s="2">
        <v>1170</v>
      </c>
      <c r="F1515" s="301">
        <v>2.8307364753701731E-2</v>
      </c>
      <c r="G1515" s="14">
        <v>112.121212121212</v>
      </c>
      <c r="H1515" s="2">
        <v>1421</v>
      </c>
      <c r="I1515" s="301">
        <v>3.2940031062379749E-2</v>
      </c>
      <c r="J1515" s="14">
        <v>175.75756799999999</v>
      </c>
      <c r="L1515" t="s">
        <v>172</v>
      </c>
      <c r="M1515" t="s">
        <v>172</v>
      </c>
      <c r="N1515" t="s">
        <v>172</v>
      </c>
      <c r="O1515" s="2">
        <v>4939</v>
      </c>
      <c r="P1515" s="301">
        <v>4.8431539826827089E-2</v>
      </c>
      <c r="Q1515" s="14">
        <v>96.969696969696898</v>
      </c>
      <c r="R1515" s="2">
        <v>5978</v>
      </c>
      <c r="S1515" s="301">
        <v>5.6874833504585762E-2</v>
      </c>
      <c r="T1515" s="14">
        <v>86.060609999999997</v>
      </c>
      <c r="V1515" t="s">
        <v>172</v>
      </c>
      <c r="W1515" t="s">
        <v>172</v>
      </c>
      <c r="X1515" t="s">
        <v>172</v>
      </c>
      <c r="Y1515" s="2">
        <v>1147504</v>
      </c>
      <c r="Z1515" s="27">
        <v>0.04</v>
      </c>
      <c r="AA1515" s="14">
        <v>1264.8499999999999</v>
      </c>
      <c r="AB1515" s="2">
        <v>1399884</v>
      </c>
      <c r="AC1515" s="27">
        <v>4.7E-2</v>
      </c>
      <c r="AD1515" s="14">
        <v>1574.55</v>
      </c>
    </row>
    <row r="1516" spans="1:30" x14ac:dyDescent="0.3">
      <c r="A1516" t="s">
        <v>2035</v>
      </c>
      <c r="B1516" t="s">
        <v>172</v>
      </c>
      <c r="C1516" t="s">
        <v>172</v>
      </c>
      <c r="D1516" t="s">
        <v>172</v>
      </c>
      <c r="E1516" s="2">
        <v>844</v>
      </c>
      <c r="F1516" s="301">
        <v>2.0420013548824157E-2</v>
      </c>
      <c r="G1516" s="14">
        <v>106.06060606060601</v>
      </c>
      <c r="H1516" s="2">
        <v>1084</v>
      </c>
      <c r="I1516" s="301">
        <v>2.5128074364264355E-2</v>
      </c>
      <c r="J1516" s="14">
        <v>144.24243200000001</v>
      </c>
      <c r="L1516" t="s">
        <v>172</v>
      </c>
      <c r="M1516" t="s">
        <v>172</v>
      </c>
      <c r="N1516" t="s">
        <v>172</v>
      </c>
      <c r="O1516" s="2">
        <v>3507</v>
      </c>
      <c r="P1516" s="301">
        <v>3.4389433118583237E-2</v>
      </c>
      <c r="Q1516" s="14">
        <v>73.3333333333333</v>
      </c>
      <c r="R1516" s="2">
        <v>3862</v>
      </c>
      <c r="S1516" s="301">
        <v>3.6743159416980628E-2</v>
      </c>
      <c r="T1516" s="14">
        <v>46.060607900000001</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2050</v>
      </c>
      <c r="B1517" t="s">
        <v>172</v>
      </c>
      <c r="C1517" t="s">
        <v>172</v>
      </c>
      <c r="D1517" t="s">
        <v>172</v>
      </c>
      <c r="E1517" s="2">
        <v>272</v>
      </c>
      <c r="F1517" s="301">
        <v>6.5808574470144201E-3</v>
      </c>
      <c r="G1517" s="14">
        <v>55.757575757575701</v>
      </c>
      <c r="H1517" s="2">
        <v>362</v>
      </c>
      <c r="I1517" s="301">
        <v>8.3914787083613444E-3</v>
      </c>
      <c r="J1517" s="14">
        <v>112.727272</v>
      </c>
      <c r="L1517" t="s">
        <v>172</v>
      </c>
      <c r="M1517" t="s">
        <v>172</v>
      </c>
      <c r="N1517" t="s">
        <v>172</v>
      </c>
      <c r="O1517" s="2">
        <v>679</v>
      </c>
      <c r="P1517" s="301">
        <v>6.6582335578893696E-3</v>
      </c>
      <c r="Q1517" s="14">
        <v>100</v>
      </c>
      <c r="R1517" s="2">
        <v>969</v>
      </c>
      <c r="S1517" s="301">
        <v>9.2190889370932748E-3</v>
      </c>
      <c r="T1517" s="14">
        <v>142.42424</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2051</v>
      </c>
      <c r="B1518" t="s">
        <v>172</v>
      </c>
      <c r="C1518" t="s">
        <v>172</v>
      </c>
      <c r="D1518" t="s">
        <v>172</v>
      </c>
      <c r="E1518" s="2">
        <v>572</v>
      </c>
      <c r="F1518" s="301">
        <v>1.3839156101809736E-2</v>
      </c>
      <c r="G1518" s="14">
        <v>90.909090909090907</v>
      </c>
      <c r="H1518" s="2">
        <v>722</v>
      </c>
      <c r="I1518" s="301">
        <v>1.6736595655903012E-2</v>
      </c>
      <c r="J1518" s="14">
        <v>110.909088</v>
      </c>
      <c r="L1518" t="s">
        <v>172</v>
      </c>
      <c r="M1518" t="s">
        <v>172</v>
      </c>
      <c r="N1518" t="s">
        <v>172</v>
      </c>
      <c r="O1518" s="2">
        <v>2828</v>
      </c>
      <c r="P1518" s="301">
        <v>2.7731199560693868E-2</v>
      </c>
      <c r="Q1518" s="14">
        <v>119.39393939393899</v>
      </c>
      <c r="R1518" s="2">
        <v>2893</v>
      </c>
      <c r="S1518" s="301">
        <v>2.7524070479887353E-2</v>
      </c>
      <c r="T1518" s="14">
        <v>153.33332799999999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2036</v>
      </c>
      <c r="B1519" t="s">
        <v>172</v>
      </c>
      <c r="C1519" t="s">
        <v>172</v>
      </c>
      <c r="D1519" t="s">
        <v>172</v>
      </c>
      <c r="E1519" s="2">
        <v>21029</v>
      </c>
      <c r="F1519" s="301">
        <v>0.50878254137230228</v>
      </c>
      <c r="G1519" s="14">
        <v>380</v>
      </c>
      <c r="H1519" s="2">
        <v>22426</v>
      </c>
      <c r="I1519" s="301">
        <v>0.51985442407102622</v>
      </c>
      <c r="J1519" s="14">
        <v>300.60604899999998</v>
      </c>
      <c r="L1519" t="s">
        <v>172</v>
      </c>
      <c r="M1519" t="s">
        <v>172</v>
      </c>
      <c r="N1519" t="s">
        <v>172</v>
      </c>
      <c r="O1519" s="2">
        <v>51299</v>
      </c>
      <c r="P1519" s="301">
        <v>0.50303493856578319</v>
      </c>
      <c r="Q1519" s="14">
        <v>410.30303030303003</v>
      </c>
      <c r="R1519" s="2">
        <v>54663</v>
      </c>
      <c r="S1519" s="301">
        <v>0.52006507592190887</v>
      </c>
      <c r="T1519" s="14">
        <v>286.66665599999999</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2032</v>
      </c>
      <c r="B1520" t="s">
        <v>172</v>
      </c>
      <c r="C1520" t="s">
        <v>172</v>
      </c>
      <c r="D1520" t="s">
        <v>172</v>
      </c>
      <c r="E1520" s="2">
        <v>7874</v>
      </c>
      <c r="F1520" s="301">
        <v>0.19050614535952773</v>
      </c>
      <c r="G1520" s="14">
        <v>296.969696969697</v>
      </c>
      <c r="H1520" s="2">
        <v>8241</v>
      </c>
      <c r="I1520" s="301">
        <v>0.19103363545747468</v>
      </c>
      <c r="J1520" s="14">
        <v>317.57574499999998</v>
      </c>
      <c r="L1520" t="s">
        <v>172</v>
      </c>
      <c r="M1520" t="s">
        <v>172</v>
      </c>
      <c r="N1520" t="s">
        <v>172</v>
      </c>
      <c r="O1520" s="2">
        <v>16144</v>
      </c>
      <c r="P1520" s="301">
        <v>0.15830710244265978</v>
      </c>
      <c r="Q1520" s="14">
        <v>258.78787878787801</v>
      </c>
      <c r="R1520" s="2">
        <v>16979</v>
      </c>
      <c r="S1520" s="301">
        <v>0.16153860790805646</v>
      </c>
      <c r="T1520" s="14">
        <v>264.24243200000001</v>
      </c>
      <c r="V1520" t="s">
        <v>172</v>
      </c>
      <c r="W1520" t="s">
        <v>172</v>
      </c>
      <c r="X1520" t="s">
        <v>172</v>
      </c>
      <c r="Y1520" s="2">
        <v>4637444</v>
      </c>
      <c r="Z1520" s="27">
        <v>0.161</v>
      </c>
      <c r="AA1520" s="14">
        <v>757.58</v>
      </c>
      <c r="AB1520" s="2">
        <v>4690779</v>
      </c>
      <c r="AC1520" s="27">
        <v>0.157</v>
      </c>
      <c r="AD1520" s="14">
        <v>973.33</v>
      </c>
    </row>
    <row r="1521" spans="1:31" x14ac:dyDescent="0.3">
      <c r="A1521" t="s">
        <v>2050</v>
      </c>
      <c r="B1521" t="s">
        <v>172</v>
      </c>
      <c r="C1521" t="s">
        <v>172</v>
      </c>
      <c r="D1521" t="s">
        <v>172</v>
      </c>
      <c r="E1521" s="2">
        <v>243</v>
      </c>
      <c r="F1521" s="301">
        <v>5.879221910384206E-3</v>
      </c>
      <c r="G1521" s="14">
        <v>85.454545454545396</v>
      </c>
      <c r="H1521" s="2">
        <v>181</v>
      </c>
      <c r="I1521" s="301">
        <v>4.1957393541806722E-3</v>
      </c>
      <c r="J1521" s="14">
        <v>76.363640000000004</v>
      </c>
      <c r="L1521" t="s">
        <v>172</v>
      </c>
      <c r="M1521" t="s">
        <v>172</v>
      </c>
      <c r="N1521" t="s">
        <v>172</v>
      </c>
      <c r="O1521" s="2">
        <v>452</v>
      </c>
      <c r="P1521" s="301">
        <v>4.4322850783004341E-3</v>
      </c>
      <c r="Q1521" s="14">
        <v>106.06060606060601</v>
      </c>
      <c r="R1521" s="2">
        <v>317</v>
      </c>
      <c r="S1521" s="301">
        <v>3.0159455036724131E-3</v>
      </c>
      <c r="T1521" s="14">
        <v>98.787880000000001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2051</v>
      </c>
      <c r="B1522" t="s">
        <v>172</v>
      </c>
      <c r="C1522" t="s">
        <v>172</v>
      </c>
      <c r="D1522" t="s">
        <v>172</v>
      </c>
      <c r="E1522" s="2">
        <v>7631</v>
      </c>
      <c r="F1522" s="301">
        <v>0.18462692344914353</v>
      </c>
      <c r="G1522" s="14">
        <v>291.51515151515099</v>
      </c>
      <c r="H1522" s="2">
        <v>8060</v>
      </c>
      <c r="I1522" s="301">
        <v>0.18683789610329402</v>
      </c>
      <c r="J1522" s="14">
        <v>324.24243200000001</v>
      </c>
      <c r="L1522" t="s">
        <v>172</v>
      </c>
      <c r="M1522" t="s">
        <v>172</v>
      </c>
      <c r="N1522" t="s">
        <v>172</v>
      </c>
      <c r="O1522" s="2">
        <v>15692</v>
      </c>
      <c r="P1522" s="301">
        <v>0.15387481736435932</v>
      </c>
      <c r="Q1522" s="14">
        <v>273.93939393939303</v>
      </c>
      <c r="R1522" s="2">
        <v>16662</v>
      </c>
      <c r="S1522" s="301">
        <v>0.15852266240438406</v>
      </c>
      <c r="T1522" s="14">
        <v>301.21212800000001</v>
      </c>
      <c r="V1522" t="s">
        <v>172</v>
      </c>
      <c r="W1522" t="s">
        <v>172</v>
      </c>
      <c r="X1522" t="s">
        <v>172</v>
      </c>
      <c r="Y1522" s="2">
        <v>4563743</v>
      </c>
      <c r="Z1522" s="27">
        <v>0.159</v>
      </c>
      <c r="AA1522" s="14">
        <v>1517.58</v>
      </c>
      <c r="AB1522" s="2">
        <v>4599069</v>
      </c>
      <c r="AC1522" s="27">
        <v>0.154</v>
      </c>
      <c r="AD1522" s="14">
        <v>1652.73</v>
      </c>
    </row>
    <row r="1523" spans="1:31" x14ac:dyDescent="0.3">
      <c r="A1523" t="s">
        <v>2033</v>
      </c>
      <c r="B1523" t="s">
        <v>172</v>
      </c>
      <c r="C1523" t="s">
        <v>172</v>
      </c>
      <c r="D1523" t="s">
        <v>172</v>
      </c>
      <c r="E1523" s="2">
        <v>10259</v>
      </c>
      <c r="F1523" s="301">
        <v>0.24820961966515048</v>
      </c>
      <c r="G1523" s="14">
        <v>305.45454545454498</v>
      </c>
      <c r="H1523" s="2">
        <v>11074</v>
      </c>
      <c r="I1523" s="301">
        <v>0.25670506965854561</v>
      </c>
      <c r="J1523" s="14">
        <v>316.36364700000001</v>
      </c>
      <c r="L1523" t="s">
        <v>172</v>
      </c>
      <c r="M1523" t="s">
        <v>172</v>
      </c>
      <c r="N1523" t="s">
        <v>172</v>
      </c>
      <c r="O1523" s="2">
        <v>25488</v>
      </c>
      <c r="P1523" s="301">
        <v>0.24993380990203865</v>
      </c>
      <c r="Q1523" s="14">
        <v>240</v>
      </c>
      <c r="R1523" s="2">
        <v>26502</v>
      </c>
      <c r="S1523" s="301">
        <v>0.25214065532595042</v>
      </c>
      <c r="T1523" s="14">
        <v>275.15152</v>
      </c>
      <c r="V1523" t="s">
        <v>172</v>
      </c>
      <c r="W1523" t="s">
        <v>172</v>
      </c>
      <c r="X1523" t="s">
        <v>172</v>
      </c>
      <c r="Y1523" s="2">
        <v>7477809</v>
      </c>
      <c r="Z1523" s="27">
        <v>0.26</v>
      </c>
      <c r="AA1523" s="14">
        <v>717.58</v>
      </c>
      <c r="AB1523" s="2">
        <v>7530762</v>
      </c>
      <c r="AC1523" s="27">
        <v>0.252</v>
      </c>
      <c r="AD1523" s="14">
        <v>807.88</v>
      </c>
    </row>
    <row r="1524" spans="1:31" x14ac:dyDescent="0.3">
      <c r="A1524" t="s">
        <v>2050</v>
      </c>
      <c r="B1524" t="s">
        <v>172</v>
      </c>
      <c r="C1524" t="s">
        <v>172</v>
      </c>
      <c r="D1524" t="s">
        <v>172</v>
      </c>
      <c r="E1524" s="2">
        <v>488</v>
      </c>
      <c r="F1524" s="301">
        <v>1.1806832478467047E-2</v>
      </c>
      <c r="G1524" s="14">
        <v>109.69696969696901</v>
      </c>
      <c r="H1524" s="2">
        <v>654</v>
      </c>
      <c r="I1524" s="301">
        <v>1.5160295788034029E-2</v>
      </c>
      <c r="J1524" s="14">
        <v>143.03030000000001</v>
      </c>
      <c r="L1524" t="s">
        <v>172</v>
      </c>
      <c r="M1524" t="s">
        <v>172</v>
      </c>
      <c r="N1524" t="s">
        <v>172</v>
      </c>
      <c r="O1524" s="2">
        <v>1114</v>
      </c>
      <c r="P1524" s="301">
        <v>1.0923817648731602E-2</v>
      </c>
      <c r="Q1524" s="14">
        <v>125.454545454545</v>
      </c>
      <c r="R1524" s="2">
        <v>1458</v>
      </c>
      <c r="S1524" s="301">
        <v>1.3871446512158922E-2</v>
      </c>
      <c r="T1524" s="14">
        <v>207.878784</v>
      </c>
      <c r="V1524" t="s">
        <v>172</v>
      </c>
      <c r="W1524" t="s">
        <v>172</v>
      </c>
      <c r="X1524" t="s">
        <v>172</v>
      </c>
      <c r="Y1524" s="2">
        <v>310982</v>
      </c>
      <c r="Z1524" s="27">
        <v>1.0999999999999999E-2</v>
      </c>
      <c r="AA1524" s="14">
        <v>1994.55</v>
      </c>
      <c r="AB1524" s="2">
        <v>287766</v>
      </c>
      <c r="AC1524" s="27">
        <v>0.01</v>
      </c>
      <c r="AD1524" s="14">
        <v>3018.18</v>
      </c>
    </row>
    <row r="1525" spans="1:31" x14ac:dyDescent="0.3">
      <c r="A1525" t="s">
        <v>2051</v>
      </c>
      <c r="B1525" t="s">
        <v>172</v>
      </c>
      <c r="C1525" t="s">
        <v>172</v>
      </c>
      <c r="D1525" t="s">
        <v>172</v>
      </c>
      <c r="E1525" s="2">
        <v>9771</v>
      </c>
      <c r="F1525" s="301">
        <v>0.23640278718668345</v>
      </c>
      <c r="G1525" s="14">
        <v>286.06060606060601</v>
      </c>
      <c r="H1525" s="2">
        <v>10420</v>
      </c>
      <c r="I1525" s="301">
        <v>0.2415447738705116</v>
      </c>
      <c r="J1525" s="14">
        <v>327.878784</v>
      </c>
      <c r="L1525" t="s">
        <v>172</v>
      </c>
      <c r="M1525" t="s">
        <v>172</v>
      </c>
      <c r="N1525" t="s">
        <v>172</v>
      </c>
      <c r="O1525" s="2">
        <v>24374</v>
      </c>
      <c r="P1525" s="301">
        <v>0.23900999225330705</v>
      </c>
      <c r="Q1525" s="14">
        <v>278.78787878787801</v>
      </c>
      <c r="R1525" s="2">
        <v>25044</v>
      </c>
      <c r="S1525" s="301">
        <v>0.23826920881379152</v>
      </c>
      <c r="T1525" s="14">
        <v>321.81817599999999</v>
      </c>
      <c r="V1525" t="s">
        <v>172</v>
      </c>
      <c r="W1525" t="s">
        <v>172</v>
      </c>
      <c r="X1525" t="s">
        <v>172</v>
      </c>
      <c r="Y1525" s="2">
        <v>7166827</v>
      </c>
      <c r="Z1525" s="27">
        <v>0.249</v>
      </c>
      <c r="AA1525" s="14">
        <v>2067.27</v>
      </c>
      <c r="AB1525" s="2">
        <v>7242996</v>
      </c>
      <c r="AC1525" s="27">
        <v>0.24199999999999999</v>
      </c>
      <c r="AD1525" s="14">
        <v>3152.12</v>
      </c>
    </row>
    <row r="1526" spans="1:31" x14ac:dyDescent="0.3">
      <c r="A1526" t="s">
        <v>2034</v>
      </c>
      <c r="B1526" t="s">
        <v>172</v>
      </c>
      <c r="C1526" t="s">
        <v>172</v>
      </c>
      <c r="D1526" t="s">
        <v>172</v>
      </c>
      <c r="E1526" s="2">
        <v>1589</v>
      </c>
      <c r="F1526" s="301">
        <v>3.8444788541565855E-2</v>
      </c>
      <c r="G1526" s="14">
        <v>106.666666666666</v>
      </c>
      <c r="H1526" s="2">
        <v>1695</v>
      </c>
      <c r="I1526" s="301">
        <v>3.9291592294675354E-2</v>
      </c>
      <c r="J1526" s="14">
        <v>136.96969999999999</v>
      </c>
      <c r="L1526" t="s">
        <v>172</v>
      </c>
      <c r="M1526" t="s">
        <v>172</v>
      </c>
      <c r="N1526" t="s">
        <v>172</v>
      </c>
      <c r="O1526" s="2">
        <v>5649</v>
      </c>
      <c r="P1526" s="301">
        <v>5.5393757538316712E-2</v>
      </c>
      <c r="Q1526" s="14">
        <v>78.181818181818201</v>
      </c>
      <c r="R1526" s="2">
        <v>6649</v>
      </c>
      <c r="S1526" s="301">
        <v>6.3258743387753544E-2</v>
      </c>
      <c r="T1526" s="14">
        <v>96.969695999999999</v>
      </c>
      <c r="V1526" t="s">
        <v>172</v>
      </c>
      <c r="W1526" t="s">
        <v>172</v>
      </c>
      <c r="X1526" t="s">
        <v>172</v>
      </c>
      <c r="Y1526" s="2">
        <v>1427224</v>
      </c>
      <c r="Z1526" s="27">
        <v>0.05</v>
      </c>
      <c r="AA1526" s="14">
        <v>443.64</v>
      </c>
      <c r="AB1526" s="2">
        <v>1735473</v>
      </c>
      <c r="AC1526" s="27">
        <v>5.8000000000000003E-2</v>
      </c>
      <c r="AD1526" s="14">
        <v>575.76</v>
      </c>
    </row>
    <row r="1527" spans="1:31" x14ac:dyDescent="0.3">
      <c r="A1527" t="s">
        <v>2050</v>
      </c>
      <c r="B1527" t="s">
        <v>172</v>
      </c>
      <c r="C1527" t="s">
        <v>172</v>
      </c>
      <c r="D1527" t="s">
        <v>172</v>
      </c>
      <c r="E1527" s="2">
        <v>128</v>
      </c>
      <c r="F1527" s="301">
        <v>3.0968740927126682E-3</v>
      </c>
      <c r="G1527" s="14">
        <v>53.939393939393902</v>
      </c>
      <c r="H1527" s="2">
        <v>259</v>
      </c>
      <c r="I1527" s="301">
        <v>6.0038480261480334E-3</v>
      </c>
      <c r="J1527" s="14">
        <v>95.757576</v>
      </c>
      <c r="L1527" t="s">
        <v>172</v>
      </c>
      <c r="M1527" t="s">
        <v>172</v>
      </c>
      <c r="N1527" t="s">
        <v>172</v>
      </c>
      <c r="O1527" s="2">
        <v>534</v>
      </c>
      <c r="P1527" s="301">
        <v>5.2363721942752916E-3</v>
      </c>
      <c r="Q1527" s="14">
        <v>75.151515151515099</v>
      </c>
      <c r="R1527" s="2">
        <v>744</v>
      </c>
      <c r="S1527" s="301">
        <v>7.0784336111428241E-3</v>
      </c>
      <c r="T1527" s="14">
        <v>127.878784</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2051</v>
      </c>
      <c r="B1528" t="s">
        <v>172</v>
      </c>
      <c r="C1528" t="s">
        <v>172</v>
      </c>
      <c r="D1528" t="s">
        <v>172</v>
      </c>
      <c r="E1528" s="2">
        <v>1461</v>
      </c>
      <c r="F1528" s="301">
        <v>3.5347914448853192E-2</v>
      </c>
      <c r="G1528" s="14">
        <v>95.757575757575694</v>
      </c>
      <c r="H1528" s="2">
        <v>1436</v>
      </c>
      <c r="I1528" s="301">
        <v>3.3287744268527319E-2</v>
      </c>
      <c r="J1528" s="14">
        <v>149.090912</v>
      </c>
      <c r="L1528" t="s">
        <v>172</v>
      </c>
      <c r="M1528" t="s">
        <v>172</v>
      </c>
      <c r="N1528" t="s">
        <v>172</v>
      </c>
      <c r="O1528" s="2">
        <v>5115</v>
      </c>
      <c r="P1528" s="301">
        <v>5.0157385344041419E-2</v>
      </c>
      <c r="Q1528" s="14">
        <v>106.06060606060601</v>
      </c>
      <c r="R1528" s="2">
        <v>5905</v>
      </c>
      <c r="S1528" s="301">
        <v>5.6180309776610725E-2</v>
      </c>
      <c r="T1528" s="14">
        <v>164.24243200000001</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2035</v>
      </c>
      <c r="B1529" t="s">
        <v>172</v>
      </c>
      <c r="C1529" t="s">
        <v>172</v>
      </c>
      <c r="D1529" t="s">
        <v>172</v>
      </c>
      <c r="E1529" s="2">
        <v>1307</v>
      </c>
      <c r="F1529" s="301">
        <v>3.1621987806058259E-2</v>
      </c>
      <c r="G1529" s="14">
        <v>143.030303030303</v>
      </c>
      <c r="H1529" s="2">
        <v>1416</v>
      </c>
      <c r="I1529" s="301">
        <v>3.2824126660330556E-2</v>
      </c>
      <c r="J1529" s="14">
        <v>143.636368</v>
      </c>
      <c r="L1529" t="s">
        <v>172</v>
      </c>
      <c r="M1529" t="s">
        <v>172</v>
      </c>
      <c r="N1529" t="s">
        <v>172</v>
      </c>
      <c r="O1529" s="2">
        <v>4018</v>
      </c>
      <c r="P1529" s="301">
        <v>3.9400268682768018E-2</v>
      </c>
      <c r="Q1529" s="14">
        <v>87.878787878787904</v>
      </c>
      <c r="R1529" s="2">
        <v>4533</v>
      </c>
      <c r="S1529" s="301">
        <v>4.3127069300148417E-2</v>
      </c>
      <c r="T1529" s="14">
        <v>89.090909999999994</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2050</v>
      </c>
      <c r="B1530" t="s">
        <v>172</v>
      </c>
      <c r="C1530" t="s">
        <v>172</v>
      </c>
      <c r="D1530" t="s">
        <v>172</v>
      </c>
      <c r="E1530" s="2">
        <v>533</v>
      </c>
      <c r="F1530" s="301">
        <v>1.2895577276686344E-2</v>
      </c>
      <c r="G1530" s="14">
        <v>97.575757575757606</v>
      </c>
      <c r="H1530" s="2">
        <v>601</v>
      </c>
      <c r="I1530" s="301">
        <v>1.3931709126312617E-2</v>
      </c>
      <c r="J1530" s="14">
        <v>129.69697600000001</v>
      </c>
      <c r="L1530" t="s">
        <v>172</v>
      </c>
      <c r="M1530" t="s">
        <v>172</v>
      </c>
      <c r="N1530" t="s">
        <v>172</v>
      </c>
      <c r="O1530" s="2">
        <v>1310</v>
      </c>
      <c r="P1530" s="301">
        <v>1.2845781974720286E-2</v>
      </c>
      <c r="Q1530" s="14">
        <v>133.333333333333</v>
      </c>
      <c r="R1530" s="2">
        <v>1250</v>
      </c>
      <c r="S1530" s="301">
        <v>1.1892529588613617E-2</v>
      </c>
      <c r="T1530" s="14">
        <v>158.78787199999999</v>
      </c>
      <c r="V1530" t="s">
        <v>172</v>
      </c>
      <c r="W1530" t="s">
        <v>172</v>
      </c>
      <c r="X1530" t="s">
        <v>172</v>
      </c>
      <c r="Y1530" s="2">
        <v>413888</v>
      </c>
      <c r="Z1530" s="27">
        <v>1.4E-2</v>
      </c>
      <c r="AA1530" s="14">
        <v>2195.15</v>
      </c>
      <c r="AB1530" s="2">
        <v>444289</v>
      </c>
      <c r="AC1530" s="27">
        <v>1.4999999999999999E-2</v>
      </c>
      <c r="AD1530" s="14">
        <v>2942.42</v>
      </c>
    </row>
    <row r="1531" spans="1:31" x14ac:dyDescent="0.3">
      <c r="A1531" t="s">
        <v>2051</v>
      </c>
      <c r="B1531" t="s">
        <v>172</v>
      </c>
      <c r="C1531" t="s">
        <v>172</v>
      </c>
      <c r="D1531" t="s">
        <v>172</v>
      </c>
      <c r="E1531" s="2">
        <v>774</v>
      </c>
      <c r="F1531" s="301">
        <v>1.8726410529371917E-2</v>
      </c>
      <c r="G1531" s="14">
        <v>120.60606060606</v>
      </c>
      <c r="H1531" s="2">
        <v>815</v>
      </c>
      <c r="I1531" s="301">
        <v>1.8892417534017943E-2</v>
      </c>
      <c r="J1531" s="14">
        <v>140</v>
      </c>
      <c r="L1531" t="s">
        <v>172</v>
      </c>
      <c r="M1531" t="s">
        <v>172</v>
      </c>
      <c r="N1531" t="s">
        <v>172</v>
      </c>
      <c r="O1531" s="2">
        <v>2708</v>
      </c>
      <c r="P1531" s="301">
        <v>2.6554486708047734E-2</v>
      </c>
      <c r="Q1531" s="14">
        <v>150.90909090909</v>
      </c>
      <c r="R1531" s="2">
        <v>3283</v>
      </c>
      <c r="S1531" s="301">
        <v>3.1234539711534802E-2</v>
      </c>
      <c r="T1531" s="14">
        <v>158.18182400000001</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2052</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172</v>
      </c>
      <c r="C1534" t="s">
        <v>172</v>
      </c>
      <c r="D1534" t="s">
        <v>172</v>
      </c>
      <c r="E1534" s="304" t="s">
        <v>1706</v>
      </c>
      <c r="F1534" s="304"/>
      <c r="G1534" s="304" t="s">
        <v>1707</v>
      </c>
      <c r="H1534" s="304" t="s">
        <v>1706</v>
      </c>
      <c r="I1534" s="304"/>
      <c r="J1534" s="304" t="s">
        <v>1707</v>
      </c>
      <c r="K1534" t="s">
        <v>172</v>
      </c>
      <c r="L1534" t="s">
        <v>172</v>
      </c>
      <c r="M1534" t="s">
        <v>172</v>
      </c>
      <c r="N1534" t="s">
        <v>172</v>
      </c>
      <c r="O1534" s="304" t="s">
        <v>1706</v>
      </c>
      <c r="P1534" s="304"/>
      <c r="Q1534" s="304" t="s">
        <v>1707</v>
      </c>
      <c r="R1534" s="304" t="s">
        <v>1706</v>
      </c>
      <c r="S1534" s="304"/>
      <c r="T1534" s="304" t="s">
        <v>1707</v>
      </c>
      <c r="U1534" t="s">
        <v>172</v>
      </c>
      <c r="V1534" t="s">
        <v>172</v>
      </c>
      <c r="W1534" t="s">
        <v>172</v>
      </c>
      <c r="X1534" t="s">
        <v>172</v>
      </c>
      <c r="Y1534" s="207" t="s">
        <v>1706</v>
      </c>
      <c r="Z1534" s="207"/>
      <c r="AA1534" s="207" t="s">
        <v>1707</v>
      </c>
      <c r="AB1534" s="207" t="s">
        <v>1706</v>
      </c>
      <c r="AC1534" s="207"/>
      <c r="AD1534" s="207" t="s">
        <v>1707</v>
      </c>
      <c r="AE1534" t="s">
        <v>172</v>
      </c>
    </row>
    <row r="1535" spans="1:31" x14ac:dyDescent="0.3">
      <c r="A1535" t="s">
        <v>174</v>
      </c>
      <c r="B1535" t="s">
        <v>172</v>
      </c>
      <c r="C1535" t="s">
        <v>172</v>
      </c>
      <c r="D1535" t="s">
        <v>172</v>
      </c>
      <c r="E1535" s="2">
        <v>62829</v>
      </c>
      <c r="F1535" t="s">
        <v>172</v>
      </c>
      <c r="G1535" s="14">
        <v>54.545454545454497</v>
      </c>
      <c r="H1535" s="2">
        <v>64757</v>
      </c>
      <c r="I1535" t="s">
        <v>172</v>
      </c>
      <c r="J1535" s="14">
        <v>118.181816</v>
      </c>
      <c r="L1535" t="s">
        <v>172</v>
      </c>
      <c r="M1535" t="s">
        <v>172</v>
      </c>
      <c r="N1535" t="s">
        <v>172</v>
      </c>
      <c r="O1535" s="2">
        <v>144677</v>
      </c>
      <c r="P1535" t="s">
        <v>172</v>
      </c>
      <c r="Q1535" s="14">
        <v>398.18181818181802</v>
      </c>
      <c r="R1535" s="2">
        <v>147831</v>
      </c>
      <c r="S1535" t="s">
        <v>172</v>
      </c>
      <c r="T1535" s="14">
        <v>335.75756799999999</v>
      </c>
      <c r="V1535" t="s">
        <v>172</v>
      </c>
      <c r="W1535" t="s">
        <v>172</v>
      </c>
      <c r="X1535" t="s">
        <v>172</v>
      </c>
      <c r="Y1535" s="2">
        <v>37912312</v>
      </c>
      <c r="Z1535" s="27" t="s">
        <v>172</v>
      </c>
      <c r="AA1535" s="14">
        <v>1469.09</v>
      </c>
      <c r="AB1535" s="2">
        <v>38838726</v>
      </c>
      <c r="AC1535" s="27" t="s">
        <v>172</v>
      </c>
      <c r="AD1535" s="14">
        <v>1783.64</v>
      </c>
    </row>
    <row r="1536" spans="1:31" x14ac:dyDescent="0.3">
      <c r="A1536" t="s">
        <v>2053</v>
      </c>
      <c r="B1536" t="s">
        <v>172</v>
      </c>
      <c r="C1536" t="s">
        <v>172</v>
      </c>
      <c r="D1536" t="s">
        <v>172</v>
      </c>
      <c r="E1536" s="2">
        <v>21497</v>
      </c>
      <c r="F1536" s="301">
        <v>0.34215091756991201</v>
      </c>
      <c r="G1536" s="14">
        <v>371.51515151515099</v>
      </c>
      <c r="H1536" s="2">
        <v>21618</v>
      </c>
      <c r="I1536" s="301">
        <v>0.33383263585403894</v>
      </c>
      <c r="J1536" s="14">
        <v>401.21212800000001</v>
      </c>
      <c r="L1536" t="s">
        <v>172</v>
      </c>
      <c r="M1536" t="s">
        <v>172</v>
      </c>
      <c r="N1536" t="s">
        <v>172</v>
      </c>
      <c r="O1536" s="2">
        <v>42698</v>
      </c>
      <c r="P1536" s="301">
        <v>0.29512638498171789</v>
      </c>
      <c r="Q1536" s="14">
        <v>38.181818181818102</v>
      </c>
      <c r="R1536" s="2">
        <v>42723</v>
      </c>
      <c r="S1536" s="301">
        <v>0.28899892444751102</v>
      </c>
      <c r="T1536" s="14">
        <v>35.151516000000001</v>
      </c>
      <c r="V1536" t="s">
        <v>172</v>
      </c>
      <c r="W1536" t="s">
        <v>172</v>
      </c>
      <c r="X1536" t="s">
        <v>172</v>
      </c>
      <c r="Y1536" s="2">
        <v>9158861</v>
      </c>
      <c r="Z1536" s="27">
        <v>0.24199999999999999</v>
      </c>
      <c r="AA1536" s="14">
        <v>349.7</v>
      </c>
      <c r="AB1536" s="2">
        <v>8942907</v>
      </c>
      <c r="AC1536" s="27">
        <v>0.23</v>
      </c>
      <c r="AD1536" s="14">
        <v>413.33</v>
      </c>
    </row>
    <row r="1537" spans="1:31" x14ac:dyDescent="0.3">
      <c r="A1537" t="s">
        <v>2054</v>
      </c>
      <c r="B1537" t="s">
        <v>172</v>
      </c>
      <c r="C1537" t="s">
        <v>172</v>
      </c>
      <c r="D1537" t="s">
        <v>172</v>
      </c>
      <c r="E1537" s="2">
        <v>444</v>
      </c>
      <c r="F1537" s="301">
        <v>7.0668003628897485E-3</v>
      </c>
      <c r="G1537" s="14">
        <v>131.51515151515099</v>
      </c>
      <c r="H1537" s="2">
        <v>760</v>
      </c>
      <c r="I1537" s="301">
        <v>1.1736182960915423E-2</v>
      </c>
      <c r="J1537" s="14">
        <v>153.939392</v>
      </c>
      <c r="L1537" t="s">
        <v>172</v>
      </c>
      <c r="M1537" t="s">
        <v>172</v>
      </c>
      <c r="N1537" t="s">
        <v>172</v>
      </c>
      <c r="O1537" s="2">
        <v>793</v>
      </c>
      <c r="P1537" s="301">
        <v>5.481175307754515E-3</v>
      </c>
      <c r="Q1537" s="14">
        <v>150.30303030303</v>
      </c>
      <c r="R1537" s="2">
        <v>1359</v>
      </c>
      <c r="S1537" s="301">
        <v>9.1929297643931242E-3</v>
      </c>
      <c r="T1537" s="14">
        <v>238.78787199999999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2055</v>
      </c>
      <c r="B1538" t="s">
        <v>172</v>
      </c>
      <c r="C1538" t="s">
        <v>172</v>
      </c>
      <c r="D1538" t="s">
        <v>172</v>
      </c>
      <c r="E1538" s="2">
        <v>125</v>
      </c>
      <c r="F1538" s="301">
        <v>1.9895271291919337E-3</v>
      </c>
      <c r="G1538" s="14">
        <v>38.787878787878697</v>
      </c>
      <c r="H1538" s="2">
        <v>137</v>
      </c>
      <c r="I1538" s="301">
        <v>2.1156014021650169E-3</v>
      </c>
      <c r="J1538" s="14">
        <v>64.242424</v>
      </c>
      <c r="L1538" t="s">
        <v>172</v>
      </c>
      <c r="M1538" t="s">
        <v>172</v>
      </c>
      <c r="N1538" t="s">
        <v>172</v>
      </c>
      <c r="O1538" s="2">
        <v>484</v>
      </c>
      <c r="P1538" s="301">
        <v>3.3453831638753915E-3</v>
      </c>
      <c r="Q1538" s="14">
        <v>100.60606060606</v>
      </c>
      <c r="R1538" s="2">
        <v>380</v>
      </c>
      <c r="S1538" s="301">
        <v>2.5705028038774005E-3</v>
      </c>
      <c r="T1538" s="14">
        <v>82.424239999999998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20928</v>
      </c>
      <c r="F1539" s="301">
        <v>0.33309459007783032</v>
      </c>
      <c r="G1539" s="14">
        <v>400</v>
      </c>
      <c r="H1539" s="2">
        <v>20721</v>
      </c>
      <c r="I1539" s="301">
        <v>0.31998085149095851</v>
      </c>
      <c r="J1539" s="14">
        <v>418.18182400000001</v>
      </c>
      <c r="L1539" t="s">
        <v>172</v>
      </c>
      <c r="M1539" t="s">
        <v>172</v>
      </c>
      <c r="N1539" t="s">
        <v>172</v>
      </c>
      <c r="O1539" s="2">
        <v>41421</v>
      </c>
      <c r="P1539" s="301">
        <v>0.28629982651008801</v>
      </c>
      <c r="Q1539" s="14">
        <v>203.636363636363</v>
      </c>
      <c r="R1539" s="2">
        <v>40984</v>
      </c>
      <c r="S1539" s="301">
        <v>0.27723549187924046</v>
      </c>
      <c r="T1539" s="14">
        <v>270.30304000000001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2056</v>
      </c>
      <c r="B1540" t="s">
        <v>172</v>
      </c>
      <c r="C1540" t="s">
        <v>172</v>
      </c>
      <c r="D1540" t="s">
        <v>172</v>
      </c>
      <c r="E1540" s="2">
        <v>36326</v>
      </c>
      <c r="F1540" s="301">
        <v>0.57817249996020947</v>
      </c>
      <c r="G1540" s="14">
        <v>395.75757575757501</v>
      </c>
      <c r="H1540" s="2">
        <v>37458</v>
      </c>
      <c r="I1540" s="301">
        <v>0.57843939651311826</v>
      </c>
      <c r="J1540" s="14">
        <v>422.42425500000002</v>
      </c>
      <c r="L1540" t="s">
        <v>172</v>
      </c>
      <c r="M1540" t="s">
        <v>172</v>
      </c>
      <c r="N1540" t="s">
        <v>172</v>
      </c>
      <c r="O1540" s="2">
        <v>83435</v>
      </c>
      <c r="P1540" s="301">
        <v>0.57669843859079195</v>
      </c>
      <c r="Q1540" s="14">
        <v>367.87878787878702</v>
      </c>
      <c r="R1540" s="2">
        <v>83813</v>
      </c>
      <c r="S1540" s="301">
        <v>0.56695145131941205</v>
      </c>
      <c r="T1540" s="14">
        <v>334.54544099999998</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2054</v>
      </c>
      <c r="B1541" t="s">
        <v>172</v>
      </c>
      <c r="C1541" t="s">
        <v>172</v>
      </c>
      <c r="D1541" t="s">
        <v>172</v>
      </c>
      <c r="E1541" s="2">
        <v>2387</v>
      </c>
      <c r="F1541" s="301">
        <v>3.7992010059049168E-2</v>
      </c>
      <c r="G1541" s="14">
        <v>222.42424242424201</v>
      </c>
      <c r="H1541" s="2">
        <v>2015</v>
      </c>
      <c r="I1541" s="301">
        <v>3.1116327192427073E-2</v>
      </c>
      <c r="J1541" s="14">
        <v>303.03030000000001</v>
      </c>
      <c r="L1541" t="s">
        <v>172</v>
      </c>
      <c r="M1541" t="s">
        <v>172</v>
      </c>
      <c r="N1541" t="s">
        <v>172</v>
      </c>
      <c r="O1541" s="2">
        <v>5555</v>
      </c>
      <c r="P1541" s="301">
        <v>3.8395874949024376E-2</v>
      </c>
      <c r="Q1541" s="14">
        <v>350.30303030303003</v>
      </c>
      <c r="R1541" s="2">
        <v>5417</v>
      </c>
      <c r="S1541" s="301">
        <v>3.6643193917378629E-2</v>
      </c>
      <c r="T1541" s="14">
        <v>452.72726399999999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2055</v>
      </c>
      <c r="B1542" t="s">
        <v>172</v>
      </c>
      <c r="C1542" t="s">
        <v>172</v>
      </c>
      <c r="D1542" t="s">
        <v>172</v>
      </c>
      <c r="E1542" s="2">
        <v>1956</v>
      </c>
      <c r="F1542" s="301">
        <v>3.1132120517595379E-2</v>
      </c>
      <c r="G1542" s="14">
        <v>212.12121212121201</v>
      </c>
      <c r="H1542" s="2">
        <v>2168</v>
      </c>
      <c r="I1542" s="301">
        <v>3.3479006130611361E-2</v>
      </c>
      <c r="J1542" s="14">
        <v>262.42425500000002</v>
      </c>
      <c r="L1542" t="s">
        <v>172</v>
      </c>
      <c r="M1542" t="s">
        <v>172</v>
      </c>
      <c r="N1542" t="s">
        <v>172</v>
      </c>
      <c r="O1542" s="2">
        <v>4356</v>
      </c>
      <c r="P1542" s="301">
        <v>3.0108448474878521E-2</v>
      </c>
      <c r="Q1542" s="14">
        <v>266.06060606060601</v>
      </c>
      <c r="R1542" s="2">
        <v>4239</v>
      </c>
      <c r="S1542" s="301">
        <v>2.8674635225358687E-2</v>
      </c>
      <c r="T1542" s="14">
        <v>323.03030000000001</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31983</v>
      </c>
      <c r="F1543" s="301">
        <v>0.5090483693835649</v>
      </c>
      <c r="G1543" s="14">
        <v>450.90909090909099</v>
      </c>
      <c r="H1543" s="2">
        <v>33275</v>
      </c>
      <c r="I1543" s="301">
        <v>0.5138440631900798</v>
      </c>
      <c r="J1543" s="14">
        <v>605.45450000000005</v>
      </c>
      <c r="L1543" t="s">
        <v>172</v>
      </c>
      <c r="M1543" t="s">
        <v>172</v>
      </c>
      <c r="N1543" t="s">
        <v>172</v>
      </c>
      <c r="O1543" s="2">
        <v>73524</v>
      </c>
      <c r="P1543" s="301">
        <v>0.50819411516688895</v>
      </c>
      <c r="Q1543" s="14">
        <v>592.12121212121201</v>
      </c>
      <c r="R1543" s="2">
        <v>74157</v>
      </c>
      <c r="S1543" s="301">
        <v>0.50163362217667473</v>
      </c>
      <c r="T1543" s="14">
        <v>631.51513699999998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2057</v>
      </c>
      <c r="B1544" t="s">
        <v>172</v>
      </c>
      <c r="C1544" t="s">
        <v>172</v>
      </c>
      <c r="D1544" t="s">
        <v>172</v>
      </c>
      <c r="E1544" s="2">
        <v>5006</v>
      </c>
      <c r="F1544" s="301">
        <v>7.9676582469878562E-2</v>
      </c>
      <c r="G1544" s="14">
        <v>251.51515151515099</v>
      </c>
      <c r="H1544" s="2">
        <v>5681</v>
      </c>
      <c r="I1544" s="301">
        <v>8.7727967632842782E-2</v>
      </c>
      <c r="J1544" s="14">
        <v>343.63635299999999</v>
      </c>
      <c r="L1544" t="s">
        <v>172</v>
      </c>
      <c r="M1544" t="s">
        <v>172</v>
      </c>
      <c r="N1544" t="s">
        <v>172</v>
      </c>
      <c r="O1544" s="2">
        <v>18544</v>
      </c>
      <c r="P1544" s="301">
        <v>0.12817517642749021</v>
      </c>
      <c r="Q1544" s="14">
        <v>90.303030303030297</v>
      </c>
      <c r="R1544" s="2">
        <v>21295</v>
      </c>
      <c r="S1544" s="301">
        <v>0.14404962423307696</v>
      </c>
      <c r="T1544" s="14">
        <v>109.696968</v>
      </c>
      <c r="V1544" t="s">
        <v>172</v>
      </c>
      <c r="W1544" t="s">
        <v>172</v>
      </c>
      <c r="X1544" t="s">
        <v>172</v>
      </c>
      <c r="Y1544" s="2">
        <v>4701262</v>
      </c>
      <c r="Z1544" s="27">
        <v>0.124</v>
      </c>
      <c r="AA1544" s="14">
        <v>793.33</v>
      </c>
      <c r="AB1544" s="2">
        <v>5548424</v>
      </c>
      <c r="AC1544" s="27">
        <v>0.14299999999999999</v>
      </c>
      <c r="AD1544" s="14">
        <v>805.45</v>
      </c>
    </row>
    <row r="1545" spans="1:31" x14ac:dyDescent="0.3">
      <c r="A1545" t="s">
        <v>2054</v>
      </c>
      <c r="B1545" t="s">
        <v>172</v>
      </c>
      <c r="C1545" t="s">
        <v>172</v>
      </c>
      <c r="D1545" t="s">
        <v>172</v>
      </c>
      <c r="E1545" s="2">
        <v>1024</v>
      </c>
      <c r="F1545" s="301">
        <v>1.6298206242340321E-2</v>
      </c>
      <c r="G1545" s="14">
        <v>134.54545454545399</v>
      </c>
      <c r="H1545" s="2">
        <v>1073</v>
      </c>
      <c r="I1545" s="301">
        <v>1.6569637259292433E-2</v>
      </c>
      <c r="J1545" s="14">
        <v>177.57576</v>
      </c>
      <c r="L1545" t="s">
        <v>172</v>
      </c>
      <c r="M1545" t="s">
        <v>172</v>
      </c>
      <c r="N1545" t="s">
        <v>172</v>
      </c>
      <c r="O1545" s="2">
        <v>3487</v>
      </c>
      <c r="P1545" s="301">
        <v>2.4101965067011344E-2</v>
      </c>
      <c r="Q1545" s="14">
        <v>240</v>
      </c>
      <c r="R1545" s="2">
        <v>4271</v>
      </c>
      <c r="S1545" s="301">
        <v>2.8891098619369414E-2</v>
      </c>
      <c r="T1545" s="14">
        <v>308.48486300000002</v>
      </c>
      <c r="V1545" t="s">
        <v>172</v>
      </c>
      <c r="W1545" t="s">
        <v>172</v>
      </c>
      <c r="X1545" t="s">
        <v>172</v>
      </c>
      <c r="Y1545" s="2">
        <v>704874</v>
      </c>
      <c r="Z1545" s="27">
        <v>1.9E-2</v>
      </c>
      <c r="AA1545" s="14">
        <v>3190.3</v>
      </c>
      <c r="AB1545" s="2">
        <v>803463</v>
      </c>
      <c r="AC1545" s="27">
        <v>2.1000000000000001E-2</v>
      </c>
      <c r="AD1545" s="14">
        <v>3733.94</v>
      </c>
    </row>
    <row r="1546" spans="1:31" x14ac:dyDescent="0.3">
      <c r="A1546" t="s">
        <v>2055</v>
      </c>
      <c r="B1546" t="s">
        <v>172</v>
      </c>
      <c r="C1546" t="s">
        <v>172</v>
      </c>
      <c r="D1546" t="s">
        <v>172</v>
      </c>
      <c r="E1546" s="2">
        <v>1425</v>
      </c>
      <c r="F1546" s="301">
        <v>2.2680609272788043E-2</v>
      </c>
      <c r="G1546" s="14">
        <v>158.78787878787799</v>
      </c>
      <c r="H1546" s="2">
        <v>1505</v>
      </c>
      <c r="I1546" s="301">
        <v>2.3240730731812778E-2</v>
      </c>
      <c r="J1546" s="14">
        <v>198.78787199999999</v>
      </c>
      <c r="L1546" t="s">
        <v>172</v>
      </c>
      <c r="M1546" t="s">
        <v>172</v>
      </c>
      <c r="N1546" t="s">
        <v>172</v>
      </c>
      <c r="O1546" s="2">
        <v>4234</v>
      </c>
      <c r="P1546" s="301">
        <v>2.9265190735223982E-2</v>
      </c>
      <c r="Q1546" s="14">
        <v>246.06060606060601</v>
      </c>
      <c r="R1546" s="2">
        <v>4199</v>
      </c>
      <c r="S1546" s="301">
        <v>2.8404055982845275E-2</v>
      </c>
      <c r="T1546" s="14">
        <v>270.30304000000001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2557</v>
      </c>
      <c r="F1547" s="301">
        <v>4.0697766954750192E-2</v>
      </c>
      <c r="G1547" s="14">
        <v>161.21212121212099</v>
      </c>
      <c r="H1547" s="2">
        <v>3103</v>
      </c>
      <c r="I1547" s="301">
        <v>4.7917599641737571E-2</v>
      </c>
      <c r="J1547" s="14">
        <v>281.21212800000001</v>
      </c>
      <c r="L1547" t="s">
        <v>172</v>
      </c>
      <c r="M1547" t="s">
        <v>172</v>
      </c>
      <c r="N1547" t="s">
        <v>172</v>
      </c>
      <c r="O1547" s="2">
        <v>10823</v>
      </c>
      <c r="P1547" s="301">
        <v>7.4808020625254878E-2</v>
      </c>
      <c r="Q1547" s="14">
        <v>267.27272727272702</v>
      </c>
      <c r="R1547" s="2">
        <v>12825</v>
      </c>
      <c r="S1547" s="301">
        <v>8.6754469630862266E-2</v>
      </c>
      <c r="T1547" s="14">
        <v>364.24243200000001</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2058</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172</v>
      </c>
      <c r="C1550" t="s">
        <v>172</v>
      </c>
      <c r="D1550" t="s">
        <v>172</v>
      </c>
      <c r="E1550" s="304" t="s">
        <v>1706</v>
      </c>
      <c r="F1550" s="304"/>
      <c r="G1550" s="304" t="s">
        <v>1707</v>
      </c>
      <c r="H1550" s="304" t="s">
        <v>1706</v>
      </c>
      <c r="I1550" s="304"/>
      <c r="J1550" s="304" t="s">
        <v>1707</v>
      </c>
      <c r="K1550" t="s">
        <v>172</v>
      </c>
      <c r="L1550" t="s">
        <v>172</v>
      </c>
      <c r="M1550" t="s">
        <v>172</v>
      </c>
      <c r="N1550" t="s">
        <v>172</v>
      </c>
      <c r="O1550" s="304" t="s">
        <v>1706</v>
      </c>
      <c r="P1550" s="304"/>
      <c r="Q1550" s="304" t="s">
        <v>1707</v>
      </c>
      <c r="R1550" s="304" t="s">
        <v>1706</v>
      </c>
      <c r="S1550" s="304"/>
      <c r="T1550" s="304" t="s">
        <v>1707</v>
      </c>
      <c r="U1550" t="s">
        <v>172</v>
      </c>
      <c r="V1550" t="s">
        <v>172</v>
      </c>
      <c r="W1550" t="s">
        <v>172</v>
      </c>
      <c r="X1550" t="s">
        <v>172</v>
      </c>
      <c r="Y1550" s="207" t="s">
        <v>1706</v>
      </c>
      <c r="Z1550" s="207"/>
      <c r="AA1550" s="207" t="s">
        <v>1707</v>
      </c>
      <c r="AB1550" s="207" t="s">
        <v>1706</v>
      </c>
      <c r="AC1550" s="207"/>
      <c r="AD1550" s="207" t="s">
        <v>1707</v>
      </c>
      <c r="AE1550" t="s">
        <v>172</v>
      </c>
    </row>
    <row r="1551" spans="1:31" x14ac:dyDescent="0.3">
      <c r="A1551" t="s">
        <v>174</v>
      </c>
      <c r="B1551" t="s">
        <v>172</v>
      </c>
      <c r="C1551" t="s">
        <v>172</v>
      </c>
      <c r="D1551" t="s">
        <v>172</v>
      </c>
      <c r="E1551" s="2">
        <v>16791</v>
      </c>
      <c r="F1551" t="s">
        <v>172</v>
      </c>
      <c r="G1551" s="14">
        <v>318.18181818181802</v>
      </c>
      <c r="H1551" s="2">
        <v>17598</v>
      </c>
      <c r="I1551" t="s">
        <v>172</v>
      </c>
      <c r="J1551" s="14">
        <v>315.75756799999999</v>
      </c>
      <c r="L1551" t="s">
        <v>172</v>
      </c>
      <c r="M1551" t="s">
        <v>172</v>
      </c>
      <c r="N1551" t="s">
        <v>172</v>
      </c>
      <c r="O1551" s="2">
        <v>43159</v>
      </c>
      <c r="P1551" t="s">
        <v>172</v>
      </c>
      <c r="Q1551" s="14">
        <v>457.575757575757</v>
      </c>
      <c r="R1551" s="2">
        <v>44479</v>
      </c>
      <c r="S1551" t="s">
        <v>172</v>
      </c>
      <c r="T1551" s="14">
        <v>306.06060000000002</v>
      </c>
      <c r="V1551" t="s">
        <v>172</v>
      </c>
      <c r="W1551" t="s">
        <v>172</v>
      </c>
      <c r="X1551" t="s">
        <v>172</v>
      </c>
      <c r="Y1551" s="2">
        <v>12717801</v>
      </c>
      <c r="Z1551" s="27" t="s">
        <v>172</v>
      </c>
      <c r="AA1551" s="14">
        <v>11122.42</v>
      </c>
      <c r="AB1551" s="2">
        <v>13103114</v>
      </c>
      <c r="AC1551" s="27" t="s">
        <v>172</v>
      </c>
      <c r="AD1551" s="14">
        <v>11237.58</v>
      </c>
    </row>
    <row r="1552" spans="1:31" x14ac:dyDescent="0.3">
      <c r="A1552" t="s">
        <v>1588</v>
      </c>
      <c r="B1552" t="s">
        <v>172</v>
      </c>
      <c r="C1552" t="s">
        <v>172</v>
      </c>
      <c r="D1552" t="s">
        <v>172</v>
      </c>
      <c r="E1552" s="2">
        <v>8016</v>
      </c>
      <c r="F1552" s="301">
        <v>0.47739860639628373</v>
      </c>
      <c r="G1552" s="14">
        <v>314.54545454545399</v>
      </c>
      <c r="H1552" s="2">
        <v>8909</v>
      </c>
      <c r="I1552" s="301">
        <v>0.50625071030798952</v>
      </c>
      <c r="J1552" s="14">
        <v>390.30304000000001</v>
      </c>
      <c r="L1552" t="s">
        <v>172</v>
      </c>
      <c r="M1552" t="s">
        <v>172</v>
      </c>
      <c r="N1552" t="s">
        <v>172</v>
      </c>
      <c r="O1552" s="2">
        <v>26275</v>
      </c>
      <c r="P1552" s="301">
        <v>0.6087953845084455</v>
      </c>
      <c r="Q1552" s="14">
        <v>477.575757575757</v>
      </c>
      <c r="R1552" s="2">
        <v>29270</v>
      </c>
      <c r="S1552" s="301">
        <v>0.65806335574091146</v>
      </c>
      <c r="T1552" s="14">
        <v>513.33330000000001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2059</v>
      </c>
      <c r="B1553" t="s">
        <v>172</v>
      </c>
      <c r="C1553" t="s">
        <v>172</v>
      </c>
      <c r="D1553" t="s">
        <v>172</v>
      </c>
      <c r="E1553" s="2">
        <v>0</v>
      </c>
      <c r="F1553" s="301">
        <v>0</v>
      </c>
      <c r="G1553" s="14">
        <v>16.969696969696901</v>
      </c>
      <c r="H1553" s="2">
        <v>378</v>
      </c>
      <c r="I1553" s="301">
        <v>2.1479713603818614E-2</v>
      </c>
      <c r="J1553" s="14">
        <v>89.090909999999994</v>
      </c>
      <c r="L1553" t="s">
        <v>172</v>
      </c>
      <c r="M1553" t="s">
        <v>172</v>
      </c>
      <c r="N1553" t="s">
        <v>172</v>
      </c>
      <c r="O1553" s="2">
        <v>0</v>
      </c>
      <c r="P1553" s="301">
        <v>0</v>
      </c>
      <c r="Q1553" s="14">
        <v>16.969696969696901</v>
      </c>
      <c r="R1553" s="2">
        <v>844</v>
      </c>
      <c r="S1553" s="301">
        <v>1.8975246745655254E-2</v>
      </c>
      <c r="T1553" s="14">
        <v>123.63636</v>
      </c>
      <c r="V1553" t="s">
        <v>172</v>
      </c>
      <c r="W1553" t="s">
        <v>172</v>
      </c>
      <c r="X1553" t="s">
        <v>172</v>
      </c>
      <c r="Y1553" s="2">
        <v>6195</v>
      </c>
      <c r="Z1553" s="27">
        <v>0</v>
      </c>
      <c r="AA1553" s="14">
        <v>289.7</v>
      </c>
      <c r="AB1553" s="2">
        <v>160558</v>
      </c>
      <c r="AC1553" s="27">
        <v>1.2E-2</v>
      </c>
      <c r="AD1553" s="14">
        <v>2243.0300000000002</v>
      </c>
    </row>
    <row r="1554" spans="1:30" x14ac:dyDescent="0.3">
      <c r="A1554" t="s">
        <v>2060</v>
      </c>
      <c r="B1554" t="s">
        <v>172</v>
      </c>
      <c r="C1554" t="s">
        <v>172</v>
      </c>
      <c r="D1554" t="s">
        <v>172</v>
      </c>
      <c r="E1554" s="2">
        <v>136</v>
      </c>
      <c r="F1554" s="301">
        <v>8.0995771544279671E-3</v>
      </c>
      <c r="G1554" s="14">
        <v>52.121212121212103</v>
      </c>
      <c r="H1554" s="2">
        <v>236</v>
      </c>
      <c r="I1554" s="301">
        <v>1.341061484259575E-2</v>
      </c>
      <c r="J1554" s="14">
        <v>83.030304000000001</v>
      </c>
      <c r="L1554" t="s">
        <v>172</v>
      </c>
      <c r="M1554" t="s">
        <v>172</v>
      </c>
      <c r="N1554" t="s">
        <v>172</v>
      </c>
      <c r="O1554" s="2">
        <v>347</v>
      </c>
      <c r="P1554" s="301">
        <v>8.0400379990268542E-3</v>
      </c>
      <c r="Q1554" s="14">
        <v>70.303030303030297</v>
      </c>
      <c r="R1554" s="2">
        <v>418</v>
      </c>
      <c r="S1554" s="301">
        <v>9.3976932934643313E-3</v>
      </c>
      <c r="T1554" s="14">
        <v>89.090909999999994</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2061</v>
      </c>
      <c r="B1555" t="s">
        <v>172</v>
      </c>
      <c r="C1555" t="s">
        <v>172</v>
      </c>
      <c r="D1555" t="s">
        <v>172</v>
      </c>
      <c r="E1555" s="2">
        <v>2481</v>
      </c>
      <c r="F1555" s="301">
        <v>0.14775772735393961</v>
      </c>
      <c r="G1555" s="2">
        <v>204.24242424242399</v>
      </c>
      <c r="H1555" s="2">
        <v>3176</v>
      </c>
      <c r="I1555" s="301">
        <v>0.18047505398340721</v>
      </c>
      <c r="J1555" s="14">
        <v>299.39395100000002</v>
      </c>
      <c r="L1555" t="s">
        <v>172</v>
      </c>
      <c r="M1555" t="s">
        <v>172</v>
      </c>
      <c r="N1555" t="s">
        <v>172</v>
      </c>
      <c r="O1555" s="2">
        <v>6357</v>
      </c>
      <c r="P1555" s="301">
        <v>0.14729256933663895</v>
      </c>
      <c r="Q1555" s="2">
        <v>318.78787878787801</v>
      </c>
      <c r="R1555" s="2">
        <v>7792</v>
      </c>
      <c r="S1555" s="301">
        <v>0.17518379459969874</v>
      </c>
      <c r="T1555" s="14">
        <v>468.48486300000002</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2062</v>
      </c>
      <c r="B1556" t="s">
        <v>172</v>
      </c>
      <c r="C1556" t="s">
        <v>172</v>
      </c>
      <c r="D1556" t="s">
        <v>172</v>
      </c>
      <c r="E1556" s="2">
        <v>1192</v>
      </c>
      <c r="F1556" s="301">
        <v>7.0990411529986308E-2</v>
      </c>
      <c r="G1556" s="14">
        <v>133.333333333333</v>
      </c>
      <c r="H1556" s="2">
        <v>1696</v>
      </c>
      <c r="I1556" s="301">
        <v>9.6374588021366059E-2</v>
      </c>
      <c r="J1556" s="14">
        <v>247.878784</v>
      </c>
      <c r="L1556" t="s">
        <v>172</v>
      </c>
      <c r="M1556" t="s">
        <v>172</v>
      </c>
      <c r="N1556" t="s">
        <v>172</v>
      </c>
      <c r="O1556" s="2">
        <v>5433</v>
      </c>
      <c r="P1556" s="301">
        <v>0.1258833615236683</v>
      </c>
      <c r="Q1556" s="14">
        <v>273.93939393939303</v>
      </c>
      <c r="R1556" s="2">
        <v>5622</v>
      </c>
      <c r="S1556" s="301">
        <v>0.12639672654511117</v>
      </c>
      <c r="T1556" s="14">
        <v>332.121216</v>
      </c>
      <c r="V1556" t="s">
        <v>172</v>
      </c>
      <c r="W1556" t="s">
        <v>172</v>
      </c>
      <c r="X1556" t="s">
        <v>172</v>
      </c>
      <c r="Y1556" s="2">
        <v>794986</v>
      </c>
      <c r="Z1556" s="27">
        <v>6.3E-2</v>
      </c>
      <c r="AA1556" s="14">
        <v>3865.45</v>
      </c>
      <c r="AB1556" s="2">
        <v>811147</v>
      </c>
      <c r="AC1556" s="27">
        <v>6.2E-2</v>
      </c>
      <c r="AD1556" s="14">
        <v>4904.8500000000004</v>
      </c>
    </row>
    <row r="1557" spans="1:30" x14ac:dyDescent="0.3">
      <c r="A1557" t="s">
        <v>2063</v>
      </c>
      <c r="B1557" t="s">
        <v>172</v>
      </c>
      <c r="C1557" t="s">
        <v>172</v>
      </c>
      <c r="D1557" t="s">
        <v>172</v>
      </c>
      <c r="E1557" s="2">
        <v>820</v>
      </c>
      <c r="F1557" s="301">
        <v>4.8835685784050981E-2</v>
      </c>
      <c r="G1557" s="14">
        <v>134.54545454545399</v>
      </c>
      <c r="H1557" s="2">
        <v>749</v>
      </c>
      <c r="I1557" s="301">
        <v>4.2561654733492445E-2</v>
      </c>
      <c r="J1557" s="14">
        <v>111.515152</v>
      </c>
      <c r="L1557" t="s">
        <v>172</v>
      </c>
      <c r="M1557" t="s">
        <v>172</v>
      </c>
      <c r="N1557" t="s">
        <v>172</v>
      </c>
      <c r="O1557" s="2">
        <v>4300</v>
      </c>
      <c r="P1557" s="301">
        <v>9.9631594800620962E-2</v>
      </c>
      <c r="Q1557" s="14">
        <v>245.45454545454501</v>
      </c>
      <c r="R1557" s="2">
        <v>4402</v>
      </c>
      <c r="S1557" s="301">
        <v>9.8968052339306195E-2</v>
      </c>
      <c r="T1557" s="14">
        <v>277.57574499999998</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2064</v>
      </c>
      <c r="B1558" t="s">
        <v>172</v>
      </c>
      <c r="C1558" t="s">
        <v>172</v>
      </c>
      <c r="D1558" t="s">
        <v>172</v>
      </c>
      <c r="E1558" s="2">
        <v>1155</v>
      </c>
      <c r="F1558" s="301">
        <v>6.8786850098266933E-2</v>
      </c>
      <c r="G1558" s="14">
        <v>114.54545454545401</v>
      </c>
      <c r="H1558" s="2">
        <v>1110</v>
      </c>
      <c r="I1558" s="301">
        <v>6.3075349471530859E-2</v>
      </c>
      <c r="J1558" s="14">
        <v>118.78788</v>
      </c>
      <c r="L1558" t="s">
        <v>172</v>
      </c>
      <c r="M1558" t="s">
        <v>172</v>
      </c>
      <c r="N1558" t="s">
        <v>172</v>
      </c>
      <c r="O1558" s="2">
        <v>4744</v>
      </c>
      <c r="P1558" s="301">
        <v>0.10991913621724321</v>
      </c>
      <c r="Q1558" s="14">
        <v>249.69696969696901</v>
      </c>
      <c r="R1558" s="2">
        <v>4988</v>
      </c>
      <c r="S1558" s="301">
        <v>0.11214280896602891</v>
      </c>
      <c r="T1558" s="14">
        <v>281.81817599999999</v>
      </c>
      <c r="V1558" t="s">
        <v>172</v>
      </c>
      <c r="W1558" t="s">
        <v>172</v>
      </c>
      <c r="X1558" t="s">
        <v>172</v>
      </c>
      <c r="Y1558" s="2">
        <v>1148984</v>
      </c>
      <c r="Z1558" s="27">
        <v>0.09</v>
      </c>
      <c r="AA1558" s="14">
        <v>4474.55</v>
      </c>
      <c r="AB1558" s="2">
        <v>1175870</v>
      </c>
      <c r="AC1558" s="27">
        <v>0.09</v>
      </c>
      <c r="AD1558" s="14">
        <v>5691.52</v>
      </c>
    </row>
    <row r="1559" spans="1:30" x14ac:dyDescent="0.3">
      <c r="A1559" t="s">
        <v>2065</v>
      </c>
      <c r="B1559" t="s">
        <v>172</v>
      </c>
      <c r="C1559" t="s">
        <v>172</v>
      </c>
      <c r="D1559" t="s">
        <v>172</v>
      </c>
      <c r="E1559" s="2">
        <v>733</v>
      </c>
      <c r="F1559" s="301">
        <v>4.3654338633791916E-2</v>
      </c>
      <c r="G1559" s="14">
        <v>110.30303030303</v>
      </c>
      <c r="H1559" s="2">
        <v>342</v>
      </c>
      <c r="I1559" s="301">
        <v>1.943402659393113E-2</v>
      </c>
      <c r="J1559" s="14">
        <v>94.545455899999993</v>
      </c>
      <c r="L1559" t="s">
        <v>172</v>
      </c>
      <c r="M1559" t="s">
        <v>172</v>
      </c>
      <c r="N1559" t="s">
        <v>172</v>
      </c>
      <c r="O1559" s="2">
        <v>1794</v>
      </c>
      <c r="P1559" s="301">
        <v>4.1567228156352096E-2</v>
      </c>
      <c r="Q1559" s="14">
        <v>156.363636363636</v>
      </c>
      <c r="R1559" s="2">
        <v>1551</v>
      </c>
      <c r="S1559" s="301">
        <v>3.4870388273117649E-2</v>
      </c>
      <c r="T1559" s="14">
        <v>189.090912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2066</v>
      </c>
      <c r="B1560" t="s">
        <v>172</v>
      </c>
      <c r="C1560" t="s">
        <v>172</v>
      </c>
      <c r="D1560" t="s">
        <v>172</v>
      </c>
      <c r="E1560" s="2">
        <v>746</v>
      </c>
      <c r="F1560" s="301">
        <v>4.442856292061223E-2</v>
      </c>
      <c r="G1560" s="14">
        <v>106.666666666666</v>
      </c>
      <c r="H1560" s="2">
        <v>515</v>
      </c>
      <c r="I1560" s="301">
        <v>2.9264689169223774E-2</v>
      </c>
      <c r="J1560" s="14">
        <v>106.060608</v>
      </c>
      <c r="L1560" t="s">
        <v>172</v>
      </c>
      <c r="M1560" t="s">
        <v>172</v>
      </c>
      <c r="N1560" t="s">
        <v>172</v>
      </c>
      <c r="O1560" s="2">
        <v>1731</v>
      </c>
      <c r="P1560" s="301">
        <v>4.010750944183137E-2</v>
      </c>
      <c r="Q1560" s="14">
        <v>172.12121212121201</v>
      </c>
      <c r="R1560" s="2">
        <v>1838</v>
      </c>
      <c r="S1560" s="301">
        <v>4.1322871467434068E-2</v>
      </c>
      <c r="T1560" s="14">
        <v>170.30302399999999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2067</v>
      </c>
      <c r="B1561" t="s">
        <v>172</v>
      </c>
      <c r="C1561" t="s">
        <v>172</v>
      </c>
      <c r="D1561" t="s">
        <v>172</v>
      </c>
      <c r="E1561" s="2">
        <v>355</v>
      </c>
      <c r="F1561" s="301">
        <v>2.1142278601631828E-2</v>
      </c>
      <c r="G1561" s="14">
        <v>70.909090909090907</v>
      </c>
      <c r="H1561" s="2">
        <v>502</v>
      </c>
      <c r="I1561" s="301">
        <v>2.8525968860097738E-2</v>
      </c>
      <c r="J1561" s="14">
        <v>104.848488</v>
      </c>
      <c r="L1561" t="s">
        <v>172</v>
      </c>
      <c r="M1561" t="s">
        <v>172</v>
      </c>
      <c r="N1561" t="s">
        <v>172</v>
      </c>
      <c r="O1561" s="2">
        <v>809</v>
      </c>
      <c r="P1561" s="301">
        <v>1.8744641905512175E-2</v>
      </c>
      <c r="Q1561" s="14">
        <v>101.212121212121</v>
      </c>
      <c r="R1561" s="2">
        <v>1140</v>
      </c>
      <c r="S1561" s="301">
        <v>2.5630072618539085E-2</v>
      </c>
      <c r="T1561" s="14">
        <v>144.24243200000001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2068</v>
      </c>
      <c r="B1562" t="s">
        <v>172</v>
      </c>
      <c r="C1562" t="s">
        <v>172</v>
      </c>
      <c r="D1562" t="s">
        <v>172</v>
      </c>
      <c r="E1562" s="2">
        <v>398</v>
      </c>
      <c r="F1562" s="301">
        <v>2.3703174319575963E-2</v>
      </c>
      <c r="G1562" s="14">
        <v>98.787878787878796</v>
      </c>
      <c r="H1562" s="2">
        <v>205</v>
      </c>
      <c r="I1562" s="301">
        <v>1.1649051028525969E-2</v>
      </c>
      <c r="J1562" s="14">
        <v>46.6666679</v>
      </c>
      <c r="L1562" t="s">
        <v>172</v>
      </c>
      <c r="M1562" t="s">
        <v>172</v>
      </c>
      <c r="N1562" t="s">
        <v>172</v>
      </c>
      <c r="O1562" s="2">
        <v>760</v>
      </c>
      <c r="P1562" s="301">
        <v>1.760930512755161E-2</v>
      </c>
      <c r="Q1562" s="14">
        <v>120.60606060606</v>
      </c>
      <c r="R1562" s="2">
        <v>675</v>
      </c>
      <c r="S1562" s="301">
        <v>1.5175700892556038E-2</v>
      </c>
      <c r="T1562" s="14">
        <v>106.060608</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1591</v>
      </c>
      <c r="B1563" t="s">
        <v>172</v>
      </c>
      <c r="C1563" t="s">
        <v>172</v>
      </c>
      <c r="D1563" t="s">
        <v>172</v>
      </c>
      <c r="E1563" s="2">
        <v>8775</v>
      </c>
      <c r="F1563" s="301">
        <v>0.52260139360371627</v>
      </c>
      <c r="G1563" s="14">
        <v>323.030303030303</v>
      </c>
      <c r="H1563" s="2">
        <v>8689</v>
      </c>
      <c r="I1563" s="301">
        <v>0.49374928969201043</v>
      </c>
      <c r="J1563" s="14">
        <v>351.51513699999998</v>
      </c>
      <c r="L1563" t="s">
        <v>172</v>
      </c>
      <c r="M1563" t="s">
        <v>172</v>
      </c>
      <c r="N1563" t="s">
        <v>172</v>
      </c>
      <c r="O1563" s="2">
        <v>16884</v>
      </c>
      <c r="P1563" s="301">
        <v>0.3912046154915545</v>
      </c>
      <c r="Q1563" s="14">
        <v>432.12121212121201</v>
      </c>
      <c r="R1563" s="2">
        <v>15209</v>
      </c>
      <c r="S1563" s="301">
        <v>0.34193664425908854</v>
      </c>
      <c r="T1563" s="14">
        <v>513.93939999999998</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2059</v>
      </c>
      <c r="B1564" t="s">
        <v>172</v>
      </c>
      <c r="C1564" t="s">
        <v>172</v>
      </c>
      <c r="D1564" t="s">
        <v>172</v>
      </c>
      <c r="E1564" s="2">
        <v>0</v>
      </c>
      <c r="F1564" s="301">
        <v>0</v>
      </c>
      <c r="G1564" s="14">
        <v>16.969696969696901</v>
      </c>
      <c r="H1564" s="2">
        <v>418</v>
      </c>
      <c r="I1564" s="301">
        <v>2.375269917036027E-2</v>
      </c>
      <c r="J1564" s="14">
        <v>134.545456</v>
      </c>
      <c r="L1564" t="s">
        <v>172</v>
      </c>
      <c r="M1564" t="s">
        <v>172</v>
      </c>
      <c r="N1564" t="s">
        <v>172</v>
      </c>
      <c r="O1564" s="2">
        <v>0</v>
      </c>
      <c r="P1564" s="301">
        <v>0</v>
      </c>
      <c r="Q1564" s="14">
        <v>16.969696969696901</v>
      </c>
      <c r="R1564" s="2">
        <v>579</v>
      </c>
      <c r="S1564" s="301">
        <v>1.3017378987836956E-2</v>
      </c>
      <c r="T1564" s="14">
        <v>152.72728000000001</v>
      </c>
      <c r="V1564" t="s">
        <v>172</v>
      </c>
      <c r="W1564" t="s">
        <v>172</v>
      </c>
      <c r="X1564" t="s">
        <v>172</v>
      </c>
      <c r="Y1564" s="2">
        <v>3776</v>
      </c>
      <c r="Z1564" s="27">
        <v>0</v>
      </c>
      <c r="AA1564" s="14">
        <v>277.58</v>
      </c>
      <c r="AB1564" s="2">
        <v>134109</v>
      </c>
      <c r="AC1564" s="27">
        <v>0.01</v>
      </c>
      <c r="AD1564" s="14">
        <v>1898.79</v>
      </c>
    </row>
    <row r="1565" spans="1:30" x14ac:dyDescent="0.3">
      <c r="A1565" t="s">
        <v>2060</v>
      </c>
      <c r="B1565" t="s">
        <v>172</v>
      </c>
      <c r="C1565" t="s">
        <v>172</v>
      </c>
      <c r="D1565" t="s">
        <v>172</v>
      </c>
      <c r="E1565" s="2">
        <v>25</v>
      </c>
      <c r="F1565" s="301">
        <v>1.488892859269847E-3</v>
      </c>
      <c r="G1565" s="14">
        <v>18.181818181818102</v>
      </c>
      <c r="H1565" s="2">
        <v>683</v>
      </c>
      <c r="I1565" s="301">
        <v>3.8811228548698715E-2</v>
      </c>
      <c r="J1565" s="14">
        <v>253.939392</v>
      </c>
      <c r="L1565" t="s">
        <v>172</v>
      </c>
      <c r="M1565" t="s">
        <v>172</v>
      </c>
      <c r="N1565" t="s">
        <v>172</v>
      </c>
      <c r="O1565" s="2">
        <v>93</v>
      </c>
      <c r="P1565" s="301">
        <v>2.1548228642924998E-3</v>
      </c>
      <c r="Q1565" s="14">
        <v>49.090909090909101</v>
      </c>
      <c r="R1565" s="2">
        <v>794</v>
      </c>
      <c r="S1565" s="301">
        <v>1.7851120753614065E-2</v>
      </c>
      <c r="T1565" s="14">
        <v>257.57574499999998</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2061</v>
      </c>
      <c r="B1566" t="s">
        <v>172</v>
      </c>
      <c r="C1566" t="s">
        <v>172</v>
      </c>
      <c r="D1566" t="s">
        <v>172</v>
      </c>
      <c r="E1566" s="2">
        <v>2076</v>
      </c>
      <c r="F1566" s="301">
        <v>0.12363766303376809</v>
      </c>
      <c r="G1566" s="14">
        <v>210.30303030303</v>
      </c>
      <c r="H1566" s="2">
        <v>1284</v>
      </c>
      <c r="I1566" s="301">
        <v>7.2962836685987048E-2</v>
      </c>
      <c r="J1566" s="14">
        <v>210.909088</v>
      </c>
      <c r="L1566" t="s">
        <v>172</v>
      </c>
      <c r="M1566" t="s">
        <v>172</v>
      </c>
      <c r="N1566" t="s">
        <v>172</v>
      </c>
      <c r="O1566" s="2">
        <v>3373</v>
      </c>
      <c r="P1566" s="301">
        <v>7.8152876572673141E-2</v>
      </c>
      <c r="Q1566" s="14">
        <v>291.51515151515099</v>
      </c>
      <c r="R1566" s="2">
        <v>2204</v>
      </c>
      <c r="S1566" s="301">
        <v>4.9551473729175566E-2</v>
      </c>
      <c r="T1566" s="14">
        <v>249.090912</v>
      </c>
      <c r="V1566" t="s">
        <v>172</v>
      </c>
      <c r="W1566" t="s">
        <v>172</v>
      </c>
      <c r="X1566" t="s">
        <v>172</v>
      </c>
      <c r="Y1566" s="2">
        <v>579517</v>
      </c>
      <c r="Z1566" s="27">
        <v>4.5999999999999999E-2</v>
      </c>
      <c r="AA1566" s="14">
        <v>2951.52</v>
      </c>
      <c r="AB1566" s="2">
        <v>508460</v>
      </c>
      <c r="AC1566" s="27">
        <v>3.9E-2</v>
      </c>
      <c r="AD1566" s="14">
        <v>3530.3</v>
      </c>
    </row>
    <row r="1567" spans="1:30" x14ac:dyDescent="0.3">
      <c r="A1567" t="s">
        <v>2062</v>
      </c>
      <c r="B1567" t="s">
        <v>172</v>
      </c>
      <c r="C1567" t="s">
        <v>172</v>
      </c>
      <c r="D1567" t="s">
        <v>172</v>
      </c>
      <c r="E1567" s="2">
        <v>1099</v>
      </c>
      <c r="F1567" s="301">
        <v>6.5451730093502469E-2</v>
      </c>
      <c r="G1567" s="14">
        <v>164.84848484848399</v>
      </c>
      <c r="H1567" s="2">
        <v>1540</v>
      </c>
      <c r="I1567" s="301">
        <v>8.7509944311853619E-2</v>
      </c>
      <c r="J1567" s="14">
        <v>217.57576</v>
      </c>
      <c r="L1567" t="s">
        <v>172</v>
      </c>
      <c r="M1567" t="s">
        <v>172</v>
      </c>
      <c r="N1567" t="s">
        <v>172</v>
      </c>
      <c r="O1567" s="2">
        <v>2638</v>
      </c>
      <c r="P1567" s="301">
        <v>6.1122824903264671E-2</v>
      </c>
      <c r="Q1567" s="14">
        <v>207.272727272727</v>
      </c>
      <c r="R1567" s="2">
        <v>2335</v>
      </c>
      <c r="S1567" s="301">
        <v>5.2496683828323482E-2</v>
      </c>
      <c r="T1567" s="14">
        <v>246.66667200000001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2063</v>
      </c>
      <c r="B1568" t="s">
        <v>172</v>
      </c>
      <c r="C1568" t="s">
        <v>172</v>
      </c>
      <c r="D1568" t="s">
        <v>172</v>
      </c>
      <c r="E1568" s="2">
        <v>1142</v>
      </c>
      <c r="F1568" s="301">
        <v>6.8012625811446611E-2</v>
      </c>
      <c r="G1568" s="14">
        <v>155.75757575757501</v>
      </c>
      <c r="H1568" s="2">
        <v>1278</v>
      </c>
      <c r="I1568" s="301">
        <v>7.2621888851005803E-2</v>
      </c>
      <c r="J1568" s="14">
        <v>209.69697600000001</v>
      </c>
      <c r="L1568" t="s">
        <v>172</v>
      </c>
      <c r="M1568" t="s">
        <v>172</v>
      </c>
      <c r="N1568" t="s">
        <v>172</v>
      </c>
      <c r="O1568" s="2">
        <v>2360</v>
      </c>
      <c r="P1568" s="301">
        <v>5.4681526448712901E-2</v>
      </c>
      <c r="Q1568" s="14">
        <v>227.272727272727</v>
      </c>
      <c r="R1568" s="2">
        <v>2293</v>
      </c>
      <c r="S1568" s="301">
        <v>5.1552417995008884E-2</v>
      </c>
      <c r="T1568" s="14">
        <v>286.66665599999999</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2064</v>
      </c>
      <c r="B1569" t="s">
        <v>172</v>
      </c>
      <c r="C1569" t="s">
        <v>172</v>
      </c>
      <c r="D1569" t="s">
        <v>172</v>
      </c>
      <c r="E1569" s="2">
        <v>1975</v>
      </c>
      <c r="F1569" s="301">
        <v>0.11762253588231791</v>
      </c>
      <c r="G1569" s="14">
        <v>246.06060606060601</v>
      </c>
      <c r="H1569" s="2">
        <v>1638</v>
      </c>
      <c r="I1569" s="301">
        <v>9.3078758949880672E-2</v>
      </c>
      <c r="J1569" s="14">
        <v>207.878784</v>
      </c>
      <c r="L1569" t="s">
        <v>172</v>
      </c>
      <c r="M1569" t="s">
        <v>172</v>
      </c>
      <c r="N1569" t="s">
        <v>172</v>
      </c>
      <c r="O1569" s="2">
        <v>3612</v>
      </c>
      <c r="P1569" s="301">
        <v>8.3690539632521613E-2</v>
      </c>
      <c r="Q1569" s="14">
        <v>258.78787878787801</v>
      </c>
      <c r="R1569" s="2">
        <v>3352</v>
      </c>
      <c r="S1569" s="301">
        <v>7.5361406506441242E-2</v>
      </c>
      <c r="T1569" s="14">
        <v>272.72726399999999</v>
      </c>
      <c r="V1569" t="s">
        <v>172</v>
      </c>
      <c r="W1569" t="s">
        <v>172</v>
      </c>
      <c r="X1569" t="s">
        <v>172</v>
      </c>
      <c r="Y1569" s="2">
        <v>1144283</v>
      </c>
      <c r="Z1569" s="27">
        <v>0.09</v>
      </c>
      <c r="AA1569" s="14">
        <v>5269.09</v>
      </c>
      <c r="AB1569" s="2">
        <v>1114211</v>
      </c>
      <c r="AC1569" s="27">
        <v>8.5000000000000006E-2</v>
      </c>
      <c r="AD1569" s="14">
        <v>5350.91</v>
      </c>
    </row>
    <row r="1570" spans="1:31" x14ac:dyDescent="0.3">
      <c r="A1570" t="s">
        <v>2065</v>
      </c>
      <c r="B1570" t="s">
        <v>172</v>
      </c>
      <c r="C1570" t="s">
        <v>172</v>
      </c>
      <c r="D1570" t="s">
        <v>172</v>
      </c>
      <c r="E1570" s="2">
        <v>616</v>
      </c>
      <c r="F1570" s="301">
        <v>3.668632005240903E-2</v>
      </c>
      <c r="G1570" s="14">
        <v>90.303030303030297</v>
      </c>
      <c r="H1570" s="2">
        <v>438</v>
      </c>
      <c r="I1570" s="301">
        <v>2.4889191953631096E-2</v>
      </c>
      <c r="J1570" s="14">
        <v>89.696969999999993</v>
      </c>
      <c r="L1570" t="s">
        <v>172</v>
      </c>
      <c r="M1570" t="s">
        <v>172</v>
      </c>
      <c r="N1570" t="s">
        <v>172</v>
      </c>
      <c r="O1570" s="2">
        <v>1325</v>
      </c>
      <c r="P1570" s="301">
        <v>3.0700433281586691E-2</v>
      </c>
      <c r="Q1570" s="14">
        <v>155.75757575757501</v>
      </c>
      <c r="R1570" s="2">
        <v>1228</v>
      </c>
      <c r="S1570" s="301">
        <v>2.7608534364531576E-2</v>
      </c>
      <c r="T1570" s="14">
        <v>169.69697600000001</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2066</v>
      </c>
      <c r="B1571" t="s">
        <v>172</v>
      </c>
      <c r="C1571" t="s">
        <v>172</v>
      </c>
      <c r="D1571" t="s">
        <v>172</v>
      </c>
      <c r="E1571" s="2">
        <v>862</v>
      </c>
      <c r="F1571" s="301">
        <v>5.1337025787624321E-2</v>
      </c>
      <c r="G1571" s="14">
        <v>123.030303030303</v>
      </c>
      <c r="H1571" s="2">
        <v>589</v>
      </c>
      <c r="I1571" s="301">
        <v>3.3469712467325829E-2</v>
      </c>
      <c r="J1571" s="14">
        <v>115.757576</v>
      </c>
      <c r="L1571" t="s">
        <v>172</v>
      </c>
      <c r="M1571" t="s">
        <v>172</v>
      </c>
      <c r="N1571" t="s">
        <v>172</v>
      </c>
      <c r="O1571" s="2">
        <v>1465</v>
      </c>
      <c r="P1571" s="301">
        <v>3.3944252647188304E-2</v>
      </c>
      <c r="Q1571" s="14">
        <v>164.84848484848399</v>
      </c>
      <c r="R1571" s="2">
        <v>986</v>
      </c>
      <c r="S1571" s="301">
        <v>2.2167764563052226E-2</v>
      </c>
      <c r="T1571" s="14">
        <v>126.666664</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2067</v>
      </c>
      <c r="B1572" t="s">
        <v>172</v>
      </c>
      <c r="C1572" t="s">
        <v>172</v>
      </c>
      <c r="D1572" t="s">
        <v>172</v>
      </c>
      <c r="E1572" s="2">
        <v>465</v>
      </c>
      <c r="F1572" s="301">
        <v>2.7693407182419152E-2</v>
      </c>
      <c r="G1572" s="14">
        <v>98.787878787878796</v>
      </c>
      <c r="H1572" s="2">
        <v>495</v>
      </c>
      <c r="I1572" s="301">
        <v>2.8128196385952948E-2</v>
      </c>
      <c r="J1572" s="14">
        <v>101.21212</v>
      </c>
      <c r="L1572" t="s">
        <v>172</v>
      </c>
      <c r="M1572" t="s">
        <v>172</v>
      </c>
      <c r="N1572" t="s">
        <v>172</v>
      </c>
      <c r="O1572" s="2">
        <v>1052</v>
      </c>
      <c r="P1572" s="301">
        <v>2.4374985518663548E-2</v>
      </c>
      <c r="Q1572" s="14">
        <v>153.939393939393</v>
      </c>
      <c r="R1572" s="2">
        <v>770</v>
      </c>
      <c r="S1572" s="301">
        <v>1.7311540277434295E-2</v>
      </c>
      <c r="T1572" s="14">
        <v>138.78787199999999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2068</v>
      </c>
      <c r="B1573" t="s">
        <v>172</v>
      </c>
      <c r="C1573" t="s">
        <v>172</v>
      </c>
      <c r="D1573" t="s">
        <v>172</v>
      </c>
      <c r="E1573" s="2">
        <v>515</v>
      </c>
      <c r="F1573" s="301">
        <v>3.0671192900958846E-2</v>
      </c>
      <c r="G1573" s="14">
        <v>96.363636363636402</v>
      </c>
      <c r="H1573" s="2">
        <v>326</v>
      </c>
      <c r="I1573" s="301">
        <v>1.8524832367314469E-2</v>
      </c>
      <c r="J1573" s="14">
        <v>88.484849999999994</v>
      </c>
      <c r="L1573" t="s">
        <v>172</v>
      </c>
      <c r="M1573" t="s">
        <v>172</v>
      </c>
      <c r="N1573" t="s">
        <v>172</v>
      </c>
      <c r="O1573" s="2">
        <v>966</v>
      </c>
      <c r="P1573" s="301">
        <v>2.2382353622651126E-2</v>
      </c>
      <c r="Q1573" s="14">
        <v>138.18181818181799</v>
      </c>
      <c r="R1573" s="2">
        <v>668</v>
      </c>
      <c r="S1573" s="301">
        <v>1.5018323253670271E-2</v>
      </c>
      <c r="T1573" s="14">
        <v>136.363632</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2069</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304" t="s">
        <v>1706</v>
      </c>
      <c r="I1576" s="304"/>
      <c r="J1576" s="304" t="s">
        <v>1707</v>
      </c>
      <c r="K1576" t="s">
        <v>172</v>
      </c>
      <c r="L1576" t="s">
        <v>172</v>
      </c>
      <c r="M1576" t="s">
        <v>172</v>
      </c>
      <c r="N1576" t="s">
        <v>172</v>
      </c>
      <c r="O1576" t="s">
        <v>172</v>
      </c>
      <c r="P1576" t="s">
        <v>172</v>
      </c>
      <c r="Q1576" t="s">
        <v>172</v>
      </c>
      <c r="R1576" s="304" t="s">
        <v>1706</v>
      </c>
      <c r="S1576" s="304"/>
      <c r="T1576" s="304" t="s">
        <v>1707</v>
      </c>
      <c r="U1576" t="s">
        <v>172</v>
      </c>
      <c r="V1576" s="200" t="s">
        <v>172</v>
      </c>
      <c r="W1576" s="200" t="s">
        <v>172</v>
      </c>
      <c r="X1576" s="200" t="s">
        <v>172</v>
      </c>
      <c r="Y1576" s="200" t="s">
        <v>172</v>
      </c>
      <c r="Z1576" s="200" t="s">
        <v>172</v>
      </c>
      <c r="AA1576" s="200" t="s">
        <v>172</v>
      </c>
      <c r="AB1576" s="209" t="s">
        <v>1706</v>
      </c>
      <c r="AC1576" s="210"/>
      <c r="AD1576" s="210" t="s">
        <v>1707</v>
      </c>
      <c r="AE1576" s="201" t="s">
        <v>172</v>
      </c>
    </row>
    <row r="1577" spans="1:31" x14ac:dyDescent="0.3">
      <c r="A1577" t="s">
        <v>180</v>
      </c>
      <c r="B1577" t="s">
        <v>172</v>
      </c>
      <c r="C1577" t="s">
        <v>172</v>
      </c>
      <c r="D1577" t="s">
        <v>172</v>
      </c>
      <c r="E1577" t="s">
        <v>172</v>
      </c>
      <c r="F1577" t="s">
        <v>172</v>
      </c>
      <c r="G1577" t="s">
        <v>172</v>
      </c>
      <c r="H1577" s="2">
        <v>17598</v>
      </c>
      <c r="I1577" t="s">
        <v>172</v>
      </c>
      <c r="J1577" s="14">
        <v>315.75756799999999</v>
      </c>
      <c r="L1577" t="s">
        <v>172</v>
      </c>
      <c r="M1577" t="s">
        <v>172</v>
      </c>
      <c r="N1577" t="s">
        <v>172</v>
      </c>
      <c r="O1577" t="s">
        <v>172</v>
      </c>
      <c r="P1577" t="s">
        <v>172</v>
      </c>
      <c r="Q1577" t="s">
        <v>172</v>
      </c>
      <c r="R1577" s="2">
        <v>44479</v>
      </c>
      <c r="S1577" t="s">
        <v>172</v>
      </c>
      <c r="T1577" s="14">
        <v>306.06060000000002</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2070</v>
      </c>
      <c r="B1578" t="s">
        <v>172</v>
      </c>
      <c r="C1578" t="s">
        <v>172</v>
      </c>
      <c r="D1578" t="s">
        <v>172</v>
      </c>
      <c r="E1578" t="s">
        <v>172</v>
      </c>
      <c r="F1578" t="s">
        <v>172</v>
      </c>
      <c r="G1578" t="s">
        <v>172</v>
      </c>
      <c r="H1578" s="2">
        <v>9606</v>
      </c>
      <c r="I1578" s="301">
        <v>0.54585748380497778</v>
      </c>
      <c r="J1578" s="14">
        <v>363.63635299999999</v>
      </c>
      <c r="L1578" t="s">
        <v>172</v>
      </c>
      <c r="M1578" t="s">
        <v>172</v>
      </c>
      <c r="N1578" t="s">
        <v>172</v>
      </c>
      <c r="O1578" t="s">
        <v>172</v>
      </c>
      <c r="P1578" t="s">
        <v>172</v>
      </c>
      <c r="Q1578" t="s">
        <v>172</v>
      </c>
      <c r="R1578" s="2">
        <v>26095</v>
      </c>
      <c r="S1578" s="301">
        <v>0.58668135524629605</v>
      </c>
      <c r="T1578" s="14">
        <v>491.51513699999998</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2071</v>
      </c>
      <c r="B1579" t="s">
        <v>172</v>
      </c>
      <c r="C1579" t="s">
        <v>172</v>
      </c>
      <c r="D1579" t="s">
        <v>172</v>
      </c>
      <c r="E1579" t="s">
        <v>172</v>
      </c>
      <c r="F1579" t="s">
        <v>172</v>
      </c>
      <c r="G1579" t="s">
        <v>172</v>
      </c>
      <c r="H1579" s="2">
        <v>5576</v>
      </c>
      <c r="I1579" s="301">
        <v>0.31685418797590637</v>
      </c>
      <c r="J1579" s="14">
        <v>267.878784</v>
      </c>
      <c r="L1579" t="s">
        <v>172</v>
      </c>
      <c r="M1579" t="s">
        <v>172</v>
      </c>
      <c r="N1579" t="s">
        <v>172</v>
      </c>
      <c r="O1579" t="s">
        <v>172</v>
      </c>
      <c r="P1579" t="s">
        <v>172</v>
      </c>
      <c r="Q1579" t="s">
        <v>172</v>
      </c>
      <c r="R1579" s="2">
        <v>11464</v>
      </c>
      <c r="S1579" s="301">
        <v>0.25773960745520358</v>
      </c>
      <c r="T1579" s="14">
        <v>395.75756799999999</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2072</v>
      </c>
      <c r="B1580" t="s">
        <v>172</v>
      </c>
      <c r="C1580" t="s">
        <v>172</v>
      </c>
      <c r="D1580" t="s">
        <v>172</v>
      </c>
      <c r="E1580" t="s">
        <v>172</v>
      </c>
      <c r="F1580" t="s">
        <v>172</v>
      </c>
      <c r="G1580" t="s">
        <v>172</v>
      </c>
      <c r="H1580" s="2">
        <v>4030</v>
      </c>
      <c r="I1580" s="301">
        <v>0.22900329582907147</v>
      </c>
      <c r="J1580" s="14">
        <v>326.06060000000002</v>
      </c>
      <c r="L1580" t="s">
        <v>172</v>
      </c>
      <c r="M1580" t="s">
        <v>172</v>
      </c>
      <c r="N1580" t="s">
        <v>172</v>
      </c>
      <c r="O1580" t="s">
        <v>172</v>
      </c>
      <c r="P1580" t="s">
        <v>172</v>
      </c>
      <c r="Q1580" t="s">
        <v>172</v>
      </c>
      <c r="R1580" s="2">
        <v>14631</v>
      </c>
      <c r="S1580" s="301">
        <v>0.32894174779109242</v>
      </c>
      <c r="T1580" s="14">
        <v>386.66665599999999</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2073</v>
      </c>
      <c r="B1581" t="s">
        <v>172</v>
      </c>
      <c r="C1581" t="s">
        <v>172</v>
      </c>
      <c r="D1581" t="s">
        <v>172</v>
      </c>
      <c r="E1581" t="s">
        <v>172</v>
      </c>
      <c r="F1581" t="s">
        <v>172</v>
      </c>
      <c r="G1581" t="s">
        <v>172</v>
      </c>
      <c r="H1581" s="2">
        <v>1557</v>
      </c>
      <c r="I1581" s="301">
        <v>8.8475963177633815E-2</v>
      </c>
      <c r="J1581" s="14">
        <v>204.84848</v>
      </c>
      <c r="L1581" t="s">
        <v>172</v>
      </c>
      <c r="M1581" t="s">
        <v>172</v>
      </c>
      <c r="N1581" t="s">
        <v>172</v>
      </c>
      <c r="O1581" t="s">
        <v>172</v>
      </c>
      <c r="P1581" t="s">
        <v>172</v>
      </c>
      <c r="Q1581" t="s">
        <v>172</v>
      </c>
      <c r="R1581" s="2">
        <v>3274</v>
      </c>
      <c r="S1581" s="301">
        <v>7.3607769958856983E-2</v>
      </c>
      <c r="T1581" s="14">
        <v>321.21212800000001</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2071</v>
      </c>
      <c r="B1582" t="s">
        <v>172</v>
      </c>
      <c r="C1582" t="s">
        <v>172</v>
      </c>
      <c r="D1582" t="s">
        <v>172</v>
      </c>
      <c r="E1582" t="s">
        <v>172</v>
      </c>
      <c r="F1582" t="s">
        <v>172</v>
      </c>
      <c r="G1582" t="s">
        <v>172</v>
      </c>
      <c r="H1582" s="2">
        <v>999</v>
      </c>
      <c r="I1582" s="301">
        <v>5.676781452437777E-2</v>
      </c>
      <c r="J1582" s="14">
        <v>145.454544</v>
      </c>
      <c r="L1582" t="s">
        <v>172</v>
      </c>
      <c r="M1582" t="s">
        <v>172</v>
      </c>
      <c r="N1582" t="s">
        <v>172</v>
      </c>
      <c r="O1582" t="s">
        <v>172</v>
      </c>
      <c r="P1582" t="s">
        <v>172</v>
      </c>
      <c r="Q1582" t="s">
        <v>172</v>
      </c>
      <c r="R1582" s="2">
        <v>1816</v>
      </c>
      <c r="S1582" s="301">
        <v>4.0828256030935949E-2</v>
      </c>
      <c r="T1582" s="14">
        <v>210.30302399999999</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2072</v>
      </c>
      <c r="B1583" t="s">
        <v>172</v>
      </c>
      <c r="C1583" t="s">
        <v>172</v>
      </c>
      <c r="D1583" t="s">
        <v>172</v>
      </c>
      <c r="E1583" t="s">
        <v>172</v>
      </c>
      <c r="F1583" t="s">
        <v>172</v>
      </c>
      <c r="G1583" t="s">
        <v>172</v>
      </c>
      <c r="H1583" s="2">
        <v>558</v>
      </c>
      <c r="I1583" s="301">
        <v>3.1708148653256052E-2</v>
      </c>
      <c r="J1583" s="14">
        <v>138.18182400000001</v>
      </c>
      <c r="L1583" t="s">
        <v>172</v>
      </c>
      <c r="M1583" t="s">
        <v>172</v>
      </c>
      <c r="N1583" t="s">
        <v>172</v>
      </c>
      <c r="O1583" t="s">
        <v>172</v>
      </c>
      <c r="P1583" t="s">
        <v>172</v>
      </c>
      <c r="Q1583" t="s">
        <v>172</v>
      </c>
      <c r="R1583" s="2">
        <v>1458</v>
      </c>
      <c r="S1583" s="301">
        <v>3.2779513927921042E-2</v>
      </c>
      <c r="T1583" s="14">
        <v>211.515152</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2074</v>
      </c>
      <c r="B1584" t="s">
        <v>172</v>
      </c>
      <c r="C1584" t="s">
        <v>172</v>
      </c>
      <c r="D1584" t="s">
        <v>172</v>
      </c>
      <c r="E1584" t="s">
        <v>172</v>
      </c>
      <c r="F1584" t="s">
        <v>172</v>
      </c>
      <c r="G1584" t="s">
        <v>172</v>
      </c>
      <c r="H1584" s="2">
        <v>4378</v>
      </c>
      <c r="I1584" s="301">
        <v>0.24877827025798385</v>
      </c>
      <c r="J1584" s="14">
        <v>285.45455900000002</v>
      </c>
      <c r="L1584" t="s">
        <v>172</v>
      </c>
      <c r="M1584" t="s">
        <v>172</v>
      </c>
      <c r="N1584" t="s">
        <v>172</v>
      </c>
      <c r="O1584" t="s">
        <v>172</v>
      </c>
      <c r="P1584" t="s">
        <v>172</v>
      </c>
      <c r="Q1584" t="s">
        <v>172</v>
      </c>
      <c r="R1584" s="2">
        <v>9405</v>
      </c>
      <c r="S1584" s="301">
        <v>0.21144809910294746</v>
      </c>
      <c r="T1584" s="14">
        <v>397.57574499999998</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1429</v>
      </c>
      <c r="I1585" s="301">
        <v>8.1202409364700537E-2</v>
      </c>
      <c r="J1585" s="14">
        <v>182.42424</v>
      </c>
      <c r="L1585" t="s">
        <v>172</v>
      </c>
      <c r="M1585" t="s">
        <v>172</v>
      </c>
      <c r="N1585" t="s">
        <v>172</v>
      </c>
      <c r="O1585" t="s">
        <v>172</v>
      </c>
      <c r="P1585" t="s">
        <v>172</v>
      </c>
      <c r="Q1585" t="s">
        <v>172</v>
      </c>
      <c r="R1585" s="2">
        <v>4154</v>
      </c>
      <c r="S1585" s="301">
        <v>9.3392387418781891E-2</v>
      </c>
      <c r="T1585" s="14">
        <v>266.66665599999999</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2071</v>
      </c>
      <c r="B1586" t="s">
        <v>172</v>
      </c>
      <c r="C1586" t="s">
        <v>172</v>
      </c>
      <c r="D1586" t="s">
        <v>172</v>
      </c>
      <c r="E1586" t="s">
        <v>172</v>
      </c>
      <c r="F1586" t="s">
        <v>172</v>
      </c>
      <c r="G1586" t="s">
        <v>172</v>
      </c>
      <c r="H1586" s="2">
        <v>1522</v>
      </c>
      <c r="I1586" s="301">
        <v>8.648710080690987E-2</v>
      </c>
      <c r="J1586" s="14">
        <v>207.27271999999999</v>
      </c>
      <c r="L1586" t="s">
        <v>172</v>
      </c>
      <c r="M1586" t="s">
        <v>172</v>
      </c>
      <c r="N1586" t="s">
        <v>172</v>
      </c>
      <c r="O1586" t="s">
        <v>172</v>
      </c>
      <c r="P1586" t="s">
        <v>172</v>
      </c>
      <c r="Q1586" t="s">
        <v>172</v>
      </c>
      <c r="R1586" s="2">
        <v>2378</v>
      </c>
      <c r="S1586" s="301">
        <v>5.34634321814789E-2</v>
      </c>
      <c r="T1586" s="14">
        <v>260.60604899999998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2075</v>
      </c>
      <c r="B1587" t="s">
        <v>172</v>
      </c>
      <c r="C1587" t="s">
        <v>172</v>
      </c>
      <c r="D1587" t="s">
        <v>172</v>
      </c>
      <c r="E1587" t="s">
        <v>172</v>
      </c>
      <c r="F1587" t="s">
        <v>172</v>
      </c>
      <c r="G1587" t="s">
        <v>172</v>
      </c>
      <c r="H1587" s="2">
        <v>1294</v>
      </c>
      <c r="I1587" s="301">
        <v>7.3531083077622461E-2</v>
      </c>
      <c r="J1587" s="14">
        <v>185.454544</v>
      </c>
      <c r="L1587" t="s">
        <v>172</v>
      </c>
      <c r="M1587" t="s">
        <v>172</v>
      </c>
      <c r="N1587" t="s">
        <v>172</v>
      </c>
      <c r="O1587" t="s">
        <v>172</v>
      </c>
      <c r="P1587" t="s">
        <v>172</v>
      </c>
      <c r="Q1587" t="s">
        <v>172</v>
      </c>
      <c r="R1587" s="2">
        <v>2484</v>
      </c>
      <c r="S1587" s="301">
        <v>5.5846579284606221E-2</v>
      </c>
      <c r="T1587" s="14">
        <v>222.42424</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133</v>
      </c>
      <c r="I1588" s="301">
        <v>7.5576770087509943E-3</v>
      </c>
      <c r="J1588" s="14">
        <v>55.757576</v>
      </c>
      <c r="L1588" t="s">
        <v>172</v>
      </c>
      <c r="M1588" t="s">
        <v>172</v>
      </c>
      <c r="N1588" t="s">
        <v>172</v>
      </c>
      <c r="O1588" t="s">
        <v>172</v>
      </c>
      <c r="P1588" t="s">
        <v>172</v>
      </c>
      <c r="Q1588" t="s">
        <v>172</v>
      </c>
      <c r="R1588" s="2">
        <v>389</v>
      </c>
      <c r="S1588" s="301">
        <v>8.7457002180804429E-3</v>
      </c>
      <c r="T1588" s="14">
        <v>100.606064</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2076</v>
      </c>
      <c r="B1589" t="s">
        <v>172</v>
      </c>
      <c r="C1589" t="s">
        <v>172</v>
      </c>
      <c r="D1589" t="s">
        <v>172</v>
      </c>
      <c r="E1589" t="s">
        <v>172</v>
      </c>
      <c r="F1589" t="s">
        <v>172</v>
      </c>
      <c r="G1589" t="s">
        <v>172</v>
      </c>
      <c r="H1589" s="2">
        <v>2057</v>
      </c>
      <c r="I1589" s="301">
        <v>0.11688828275940448</v>
      </c>
      <c r="J1589" s="14">
        <v>220</v>
      </c>
      <c r="L1589" t="s">
        <v>172</v>
      </c>
      <c r="M1589" t="s">
        <v>172</v>
      </c>
      <c r="N1589" t="s">
        <v>172</v>
      </c>
      <c r="O1589" t="s">
        <v>172</v>
      </c>
      <c r="P1589" t="s">
        <v>172</v>
      </c>
      <c r="Q1589" t="s">
        <v>172</v>
      </c>
      <c r="R1589" s="2">
        <v>5705</v>
      </c>
      <c r="S1589" s="301">
        <v>0.12826277569189956</v>
      </c>
      <c r="T1589" s="14">
        <v>291.51513699999998</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1065</v>
      </c>
      <c r="I1590" s="301">
        <v>6.05182407091715E-2</v>
      </c>
      <c r="J1590" s="14">
        <v>155.75756799999999</v>
      </c>
      <c r="L1590" t="s">
        <v>172</v>
      </c>
      <c r="M1590" t="s">
        <v>172</v>
      </c>
      <c r="N1590" t="s">
        <v>172</v>
      </c>
      <c r="O1590" t="s">
        <v>172</v>
      </c>
      <c r="P1590" t="s">
        <v>172</v>
      </c>
      <c r="Q1590" t="s">
        <v>172</v>
      </c>
      <c r="R1590" s="2">
        <v>3234</v>
      </c>
      <c r="S1590" s="301">
        <v>7.2708469165224041E-2</v>
      </c>
      <c r="T1590" s="14">
        <v>230.909088</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2071</v>
      </c>
      <c r="B1591" t="s">
        <v>172</v>
      </c>
      <c r="C1591" t="s">
        <v>172</v>
      </c>
      <c r="D1591" t="s">
        <v>172</v>
      </c>
      <c r="E1591" t="s">
        <v>172</v>
      </c>
      <c r="F1591" t="s">
        <v>172</v>
      </c>
      <c r="G1591" t="s">
        <v>172</v>
      </c>
      <c r="H1591" s="2">
        <v>222</v>
      </c>
      <c r="I1591" s="301">
        <v>1.261506989430617E-2</v>
      </c>
      <c r="J1591" s="14">
        <v>96.969695999999999</v>
      </c>
      <c r="L1591" t="s">
        <v>172</v>
      </c>
      <c r="M1591" t="s">
        <v>172</v>
      </c>
      <c r="N1591" t="s">
        <v>172</v>
      </c>
      <c r="O1591" t="s">
        <v>172</v>
      </c>
      <c r="P1591" t="s">
        <v>172</v>
      </c>
      <c r="Q1591" t="s">
        <v>172</v>
      </c>
      <c r="R1591" s="2">
        <v>551</v>
      </c>
      <c r="S1591" s="301">
        <v>1.2387868432293891E-2</v>
      </c>
      <c r="T1591" s="14">
        <v>120</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2075</v>
      </c>
      <c r="B1592" t="s">
        <v>172</v>
      </c>
      <c r="C1592" t="s">
        <v>172</v>
      </c>
      <c r="D1592" t="s">
        <v>172</v>
      </c>
      <c r="E1592" t="s">
        <v>172</v>
      </c>
      <c r="F1592" t="s">
        <v>172</v>
      </c>
      <c r="G1592" t="s">
        <v>172</v>
      </c>
      <c r="H1592" s="2">
        <v>534</v>
      </c>
      <c r="I1592" s="301">
        <v>3.0344357313331061E-2</v>
      </c>
      <c r="J1592" s="14">
        <v>104.242424</v>
      </c>
      <c r="L1592" t="s">
        <v>172</v>
      </c>
      <c r="M1592" t="s">
        <v>172</v>
      </c>
      <c r="N1592" t="s">
        <v>172</v>
      </c>
      <c r="O1592" t="s">
        <v>172</v>
      </c>
      <c r="P1592" t="s">
        <v>172</v>
      </c>
      <c r="Q1592" t="s">
        <v>172</v>
      </c>
      <c r="R1592" s="2">
        <v>1357</v>
      </c>
      <c r="S1592" s="301">
        <v>3.050877942399784E-2</v>
      </c>
      <c r="T1592" s="14">
        <v>167.878784</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236</v>
      </c>
      <c r="I1593" s="301">
        <v>1.341061484259575E-2</v>
      </c>
      <c r="J1593" s="14">
        <v>84.242424</v>
      </c>
      <c r="L1593" t="s">
        <v>172</v>
      </c>
      <c r="M1593" t="s">
        <v>172</v>
      </c>
      <c r="N1593" t="s">
        <v>172</v>
      </c>
      <c r="O1593" t="s">
        <v>172</v>
      </c>
      <c r="P1593" t="s">
        <v>172</v>
      </c>
      <c r="Q1593" t="s">
        <v>172</v>
      </c>
      <c r="R1593" s="2">
        <v>563</v>
      </c>
      <c r="S1593" s="301">
        <v>1.2657658670383777E-2</v>
      </c>
      <c r="T1593" s="14">
        <v>150.909088</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3" t="s">
        <v>1703</v>
      </c>
      <c r="C1" s="373"/>
      <c r="D1" s="373"/>
      <c r="E1" s="373"/>
      <c r="F1" s="373"/>
      <c r="G1" s="373"/>
      <c r="H1" s="352"/>
      <c r="I1" s="352"/>
      <c r="J1" s="352"/>
      <c r="K1" s="352"/>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5" t="str">
        <f>Population!B3</f>
        <v>City of Madera</v>
      </c>
      <c r="C2" s="375"/>
      <c r="D2" s="375"/>
      <c r="E2" s="375"/>
      <c r="F2" s="375"/>
      <c r="G2" s="375"/>
      <c r="H2" s="375"/>
      <c r="I2" s="375"/>
      <c r="J2" s="375"/>
      <c r="K2" s="375"/>
      <c r="L2" s="375" t="str">
        <f>Population!B4</f>
        <v>Madera County</v>
      </c>
      <c r="M2" s="375"/>
      <c r="N2" s="375"/>
      <c r="O2" s="375"/>
      <c r="P2" s="375"/>
      <c r="Q2" s="375"/>
      <c r="R2" s="375"/>
      <c r="S2" s="375"/>
      <c r="T2" s="375"/>
      <c r="U2" s="375"/>
      <c r="V2" s="375" t="s">
        <v>173</v>
      </c>
      <c r="W2" s="375"/>
      <c r="X2" s="375"/>
      <c r="Y2" s="375"/>
      <c r="Z2" s="375"/>
      <c r="AA2" s="375"/>
      <c r="AB2" s="375"/>
      <c r="AC2" s="375"/>
      <c r="AD2" s="375"/>
      <c r="AE2" s="375"/>
    </row>
    <row r="3" spans="1:31" ht="34.5" customHeight="1" x14ac:dyDescent="0.3">
      <c r="A3" s="214"/>
      <c r="B3" s="375">
        <v>2010</v>
      </c>
      <c r="C3" s="375"/>
      <c r="D3" s="375"/>
      <c r="E3" s="375">
        <v>2015</v>
      </c>
      <c r="F3" s="375"/>
      <c r="G3" s="375"/>
      <c r="H3" s="375">
        <v>2020</v>
      </c>
      <c r="I3" s="375"/>
      <c r="J3" s="375"/>
      <c r="K3" s="196" t="s">
        <v>1704</v>
      </c>
      <c r="L3" s="375">
        <v>2010</v>
      </c>
      <c r="M3" s="375"/>
      <c r="N3" s="375"/>
      <c r="O3" s="375">
        <v>2015</v>
      </c>
      <c r="P3" s="375"/>
      <c r="Q3" s="375"/>
      <c r="R3" s="375">
        <v>2020</v>
      </c>
      <c r="S3" s="375"/>
      <c r="T3" s="375"/>
      <c r="U3" s="196" t="s">
        <v>1704</v>
      </c>
      <c r="V3" s="375">
        <v>2010</v>
      </c>
      <c r="W3" s="375"/>
      <c r="X3" s="375"/>
      <c r="Y3" s="375">
        <v>2015</v>
      </c>
      <c r="Z3" s="375"/>
      <c r="AA3" s="375"/>
      <c r="AB3" s="375">
        <v>2020</v>
      </c>
      <c r="AC3" s="375"/>
      <c r="AD3" s="375"/>
      <c r="AE3" s="196" t="s">
        <v>1704</v>
      </c>
    </row>
    <row r="4" spans="1:31" x14ac:dyDescent="0.3">
      <c r="A4" s="374" t="s">
        <v>2077</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3" t="s">
        <v>4602</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2078</v>
      </c>
      <c r="B6" s="15">
        <v>40889</v>
      </c>
      <c r="C6" t="s">
        <v>172</v>
      </c>
      <c r="D6" t="s">
        <v>172</v>
      </c>
      <c r="E6" s="15">
        <v>40457</v>
      </c>
      <c r="F6" t="s">
        <v>172</v>
      </c>
      <c r="G6" t="s">
        <v>172</v>
      </c>
      <c r="H6" s="15">
        <v>49335</v>
      </c>
      <c r="I6" t="s">
        <v>172</v>
      </c>
      <c r="J6" t="s">
        <v>172</v>
      </c>
      <c r="K6" s="301">
        <v>0.20655922130646384</v>
      </c>
      <c r="L6" s="15">
        <v>46039</v>
      </c>
      <c r="M6" t="s">
        <v>172</v>
      </c>
      <c r="N6" t="s">
        <v>172</v>
      </c>
      <c r="O6" s="15">
        <v>45073</v>
      </c>
      <c r="P6" t="s">
        <v>172</v>
      </c>
      <c r="Q6" t="s">
        <v>172</v>
      </c>
      <c r="R6" s="15">
        <v>61924</v>
      </c>
      <c r="S6" t="s">
        <v>172</v>
      </c>
      <c r="T6" t="s">
        <v>172</v>
      </c>
      <c r="U6" s="301">
        <v>0.34503355850474599</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23"/>
      <c r="B7" s="123"/>
      <c r="C7" s="123"/>
      <c r="D7" s="123"/>
      <c r="E7" s="123"/>
      <c r="F7" s="123"/>
      <c r="G7" s="123"/>
      <c r="H7" s="123"/>
      <c r="I7" s="123"/>
      <c r="J7" s="123"/>
      <c r="K7" s="123"/>
      <c r="L7" s="18"/>
      <c r="M7" s="18"/>
      <c r="N7" s="18"/>
      <c r="O7" s="18"/>
      <c r="P7" s="18"/>
      <c r="Q7" s="18"/>
      <c r="R7" s="18"/>
      <c r="S7" s="18"/>
      <c r="T7" s="18"/>
      <c r="U7" s="18"/>
      <c r="V7" s="225"/>
      <c r="W7" s="225"/>
      <c r="X7" s="225"/>
      <c r="Y7" s="225"/>
      <c r="Z7" s="225"/>
      <c r="AA7" s="225"/>
      <c r="AB7" s="225"/>
      <c r="AC7" s="225"/>
      <c r="AD7" s="225"/>
      <c r="AE7" s="225"/>
    </row>
    <row r="8" spans="1:31" x14ac:dyDescent="0.3">
      <c r="A8" s="303" t="s">
        <v>4603</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2079</v>
      </c>
      <c r="B9" s="15">
        <v>40889</v>
      </c>
      <c r="C9" t="s">
        <v>172</v>
      </c>
      <c r="D9" t="s">
        <v>172</v>
      </c>
      <c r="E9" s="15">
        <v>40457</v>
      </c>
      <c r="F9" t="s">
        <v>172</v>
      </c>
      <c r="G9" t="s">
        <v>172</v>
      </c>
      <c r="H9" s="15">
        <v>49335</v>
      </c>
      <c r="I9" t="s">
        <v>172</v>
      </c>
      <c r="J9" t="s">
        <v>172</v>
      </c>
      <c r="K9" s="301">
        <v>0.20655922130646384</v>
      </c>
      <c r="L9" s="15">
        <v>46039</v>
      </c>
      <c r="M9" t="s">
        <v>172</v>
      </c>
      <c r="N9" t="s">
        <v>172</v>
      </c>
      <c r="O9" s="15">
        <v>45073</v>
      </c>
      <c r="P9" t="s">
        <v>172</v>
      </c>
      <c r="Q9" t="s">
        <v>172</v>
      </c>
      <c r="R9" s="15">
        <v>61924</v>
      </c>
      <c r="S9" t="s">
        <v>172</v>
      </c>
      <c r="T9" t="s">
        <v>172</v>
      </c>
      <c r="U9" s="301">
        <v>0.34503355850474599</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2080</v>
      </c>
      <c r="B10" s="15">
        <v>40716</v>
      </c>
      <c r="C10" t="s">
        <v>172</v>
      </c>
      <c r="D10" t="s">
        <v>172</v>
      </c>
      <c r="E10" s="15">
        <v>40046</v>
      </c>
      <c r="F10" t="s">
        <v>172</v>
      </c>
      <c r="G10" t="s">
        <v>172</v>
      </c>
      <c r="H10" s="15">
        <v>51166</v>
      </c>
      <c r="I10" t="s">
        <v>172</v>
      </c>
      <c r="J10" t="s">
        <v>172</v>
      </c>
      <c r="K10" s="301">
        <v>0.25665586010413599</v>
      </c>
      <c r="L10" s="15">
        <v>46794</v>
      </c>
      <c r="M10" t="s">
        <v>172</v>
      </c>
      <c r="N10" t="s">
        <v>172</v>
      </c>
      <c r="O10" s="15">
        <v>45095</v>
      </c>
      <c r="P10" t="s">
        <v>172</v>
      </c>
      <c r="Q10" t="s">
        <v>172</v>
      </c>
      <c r="R10" s="15">
        <v>66393</v>
      </c>
      <c r="S10" t="s">
        <v>172</v>
      </c>
      <c r="T10" t="s">
        <v>172</v>
      </c>
      <c r="U10" s="301">
        <v>0.41883574817284269</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2081</v>
      </c>
      <c r="B11" s="15">
        <v>31172</v>
      </c>
      <c r="C11" t="s">
        <v>172</v>
      </c>
      <c r="D11" t="s">
        <v>172</v>
      </c>
      <c r="E11" s="15">
        <v>41765</v>
      </c>
      <c r="F11" t="s">
        <v>172</v>
      </c>
      <c r="G11" t="s">
        <v>172</v>
      </c>
      <c r="H11" s="15">
        <v>45462</v>
      </c>
      <c r="I11" t="s">
        <v>172</v>
      </c>
      <c r="J11" t="s">
        <v>172</v>
      </c>
      <c r="K11" s="301">
        <v>0.45842422687026818</v>
      </c>
      <c r="L11" s="15">
        <v>40084</v>
      </c>
      <c r="M11" t="s">
        <v>172</v>
      </c>
      <c r="N11" t="s">
        <v>172</v>
      </c>
      <c r="O11" s="15">
        <v>35661</v>
      </c>
      <c r="P11" t="s">
        <v>172</v>
      </c>
      <c r="Q11" t="s">
        <v>172</v>
      </c>
      <c r="R11" s="15">
        <v>45431</v>
      </c>
      <c r="S11" t="s">
        <v>172</v>
      </c>
      <c r="T11" t="s">
        <v>172</v>
      </c>
      <c r="U11" s="301">
        <v>0.1333948707713801</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2082</v>
      </c>
      <c r="B12" s="15">
        <v>34214</v>
      </c>
      <c r="C12" t="s">
        <v>172</v>
      </c>
      <c r="D12" t="s">
        <v>172</v>
      </c>
      <c r="E12" s="15">
        <v>33967</v>
      </c>
      <c r="F12" t="s">
        <v>172</v>
      </c>
      <c r="G12" t="s">
        <v>172</v>
      </c>
      <c r="H12" s="15">
        <v>102609</v>
      </c>
      <c r="I12" t="s">
        <v>172</v>
      </c>
      <c r="J12" t="s">
        <v>172</v>
      </c>
      <c r="K12" s="301">
        <v>1.9990354825510026</v>
      </c>
      <c r="L12" s="15">
        <v>38821</v>
      </c>
      <c r="M12" t="s">
        <v>172</v>
      </c>
      <c r="N12" t="s">
        <v>172</v>
      </c>
      <c r="O12" s="15">
        <v>33516</v>
      </c>
      <c r="P12" t="s">
        <v>172</v>
      </c>
      <c r="Q12" t="s">
        <v>172</v>
      </c>
      <c r="R12" s="15">
        <v>64342</v>
      </c>
      <c r="S12" t="s">
        <v>172</v>
      </c>
      <c r="T12" t="s">
        <v>172</v>
      </c>
      <c r="U12" s="301">
        <v>0.65740192164034927</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s="15">
        <v>56220</v>
      </c>
      <c r="C13" t="s">
        <v>172</v>
      </c>
      <c r="D13" t="s">
        <v>172</v>
      </c>
      <c r="E13" s="15">
        <v>46493</v>
      </c>
      <c r="F13" t="s">
        <v>172</v>
      </c>
      <c r="G13" t="s">
        <v>172</v>
      </c>
      <c r="H13" t="s">
        <v>172</v>
      </c>
      <c r="I13" t="s">
        <v>172</v>
      </c>
      <c r="J13" t="s">
        <v>172</v>
      </c>
      <c r="L13" s="15">
        <v>41601</v>
      </c>
      <c r="M13" t="s">
        <v>172</v>
      </c>
      <c r="N13" t="s">
        <v>172</v>
      </c>
      <c r="O13" s="15">
        <v>53889</v>
      </c>
      <c r="P13" t="s">
        <v>172</v>
      </c>
      <c r="Q13" t="s">
        <v>172</v>
      </c>
      <c r="R13" s="15">
        <v>60104</v>
      </c>
      <c r="S13" t="s">
        <v>172</v>
      </c>
      <c r="T13" t="s">
        <v>172</v>
      </c>
      <c r="U13" s="301">
        <v>0.44477296218840895</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2083</v>
      </c>
      <c r="B14" t="s">
        <v>172</v>
      </c>
      <c r="C14" t="s">
        <v>172</v>
      </c>
      <c r="D14" t="s">
        <v>172</v>
      </c>
      <c r="E14" t="s">
        <v>172</v>
      </c>
      <c r="F14" t="s">
        <v>172</v>
      </c>
      <c r="G14" t="s">
        <v>172</v>
      </c>
      <c r="H14" t="s">
        <v>172</v>
      </c>
      <c r="I14" t="s">
        <v>172</v>
      </c>
      <c r="J14" t="s">
        <v>172</v>
      </c>
      <c r="L14" t="s">
        <v>172</v>
      </c>
      <c r="M14" t="s">
        <v>172</v>
      </c>
      <c r="N14" t="s">
        <v>172</v>
      </c>
      <c r="O14" s="15">
        <v>66343</v>
      </c>
      <c r="P14" t="s">
        <v>172</v>
      </c>
      <c r="Q14" t="s">
        <v>172</v>
      </c>
      <c r="R14" t="s">
        <v>172</v>
      </c>
      <c r="S14" t="s">
        <v>172</v>
      </c>
      <c r="T14" t="s">
        <v>172</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2084</v>
      </c>
      <c r="B15" s="15">
        <v>41875</v>
      </c>
      <c r="C15" t="s">
        <v>172</v>
      </c>
      <c r="D15" t="s">
        <v>172</v>
      </c>
      <c r="E15" s="15">
        <v>41696</v>
      </c>
      <c r="F15" t="s">
        <v>172</v>
      </c>
      <c r="G15" t="s">
        <v>172</v>
      </c>
      <c r="H15" s="15">
        <v>43169</v>
      </c>
      <c r="I15" t="s">
        <v>172</v>
      </c>
      <c r="J15" t="s">
        <v>172</v>
      </c>
      <c r="K15" s="301">
        <v>3.0901492537313432E-2</v>
      </c>
      <c r="L15" s="15">
        <v>42013</v>
      </c>
      <c r="M15" t="s">
        <v>172</v>
      </c>
      <c r="N15" t="s">
        <v>172</v>
      </c>
      <c r="O15" s="15">
        <v>47484</v>
      </c>
      <c r="P15" t="s">
        <v>172</v>
      </c>
      <c r="Q15" t="s">
        <v>172</v>
      </c>
      <c r="R15" s="15">
        <v>48428</v>
      </c>
      <c r="S15" t="s">
        <v>172</v>
      </c>
      <c r="T15" t="s">
        <v>172</v>
      </c>
      <c r="U15" s="301">
        <v>0.15269083378954132</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2085</v>
      </c>
      <c r="B16" s="15">
        <v>60500</v>
      </c>
      <c r="C16" t="s">
        <v>172</v>
      </c>
      <c r="D16" t="s">
        <v>172</v>
      </c>
      <c r="E16" s="15">
        <v>40444</v>
      </c>
      <c r="F16" t="s">
        <v>172</v>
      </c>
      <c r="G16" t="s">
        <v>172</v>
      </c>
      <c r="H16" s="15">
        <v>77651</v>
      </c>
      <c r="I16" t="s">
        <v>172</v>
      </c>
      <c r="J16" t="s">
        <v>172</v>
      </c>
      <c r="K16" s="301">
        <v>0.2834876033057851</v>
      </c>
      <c r="L16" s="15">
        <v>62438</v>
      </c>
      <c r="M16" t="s">
        <v>172</v>
      </c>
      <c r="N16" t="s">
        <v>172</v>
      </c>
      <c r="O16" s="15">
        <v>44250</v>
      </c>
      <c r="P16" t="s">
        <v>172</v>
      </c>
      <c r="Q16" t="s">
        <v>172</v>
      </c>
      <c r="R16" s="15">
        <v>77847</v>
      </c>
      <c r="S16" t="s">
        <v>172</v>
      </c>
      <c r="T16" t="s">
        <v>172</v>
      </c>
      <c r="U16" s="301">
        <v>0.24678881450398796</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2086</v>
      </c>
      <c r="B17" s="15">
        <v>37139</v>
      </c>
      <c r="C17" t="s">
        <v>172</v>
      </c>
      <c r="D17" t="s">
        <v>172</v>
      </c>
      <c r="E17" s="15">
        <v>37726</v>
      </c>
      <c r="F17" t="s">
        <v>172</v>
      </c>
      <c r="G17" t="s">
        <v>172</v>
      </c>
      <c r="H17" s="15">
        <v>49222</v>
      </c>
      <c r="I17" t="s">
        <v>172</v>
      </c>
      <c r="J17" t="s">
        <v>172</v>
      </c>
      <c r="K17" s="301">
        <v>0.32534532432214114</v>
      </c>
      <c r="L17" s="15">
        <v>39868</v>
      </c>
      <c r="M17" t="s">
        <v>172</v>
      </c>
      <c r="N17" t="s">
        <v>172</v>
      </c>
      <c r="O17" s="15">
        <v>39124</v>
      </c>
      <c r="P17" t="s">
        <v>172</v>
      </c>
      <c r="Q17" t="s">
        <v>172</v>
      </c>
      <c r="R17" s="15">
        <v>52667</v>
      </c>
      <c r="S17" t="s">
        <v>172</v>
      </c>
      <c r="T17" t="s">
        <v>172</v>
      </c>
      <c r="U17" s="301">
        <v>0.3210344135647637</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2087</v>
      </c>
      <c r="B18" s="15">
        <v>49812</v>
      </c>
      <c r="C18" t="s">
        <v>172</v>
      </c>
      <c r="D18" t="s">
        <v>172</v>
      </c>
      <c r="E18" s="15">
        <v>50356</v>
      </c>
      <c r="F18" t="s">
        <v>172</v>
      </c>
      <c r="G18" t="s">
        <v>172</v>
      </c>
      <c r="H18" s="15">
        <v>58000</v>
      </c>
      <c r="I18" t="s">
        <v>172</v>
      </c>
      <c r="J18" t="s">
        <v>172</v>
      </c>
      <c r="K18" s="301">
        <v>0.16437806151128243</v>
      </c>
      <c r="L18" s="15">
        <v>52684</v>
      </c>
      <c r="M18" t="s">
        <v>172</v>
      </c>
      <c r="N18" t="s">
        <v>172</v>
      </c>
      <c r="O18" s="15">
        <v>53392</v>
      </c>
      <c r="P18" t="s">
        <v>172</v>
      </c>
      <c r="Q18" t="s">
        <v>172</v>
      </c>
      <c r="R18" s="15">
        <v>71001</v>
      </c>
      <c r="S18" t="s">
        <v>172</v>
      </c>
      <c r="T18" t="s">
        <v>172</v>
      </c>
      <c r="U18" s="301">
        <v>0.3476767139928631</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23"/>
      <c r="B19" s="123"/>
      <c r="C19" s="123"/>
      <c r="D19" s="123"/>
      <c r="E19" s="123"/>
      <c r="F19" s="123"/>
      <c r="G19" s="123"/>
      <c r="H19" s="123"/>
      <c r="I19" s="123"/>
      <c r="J19" s="123"/>
      <c r="K19" s="123"/>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2088</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2089</v>
      </c>
      <c r="B21" s="15">
        <v>230300</v>
      </c>
      <c r="C21" t="s">
        <v>172</v>
      </c>
      <c r="D21" t="s">
        <v>172</v>
      </c>
      <c r="E21" s="15">
        <v>153800</v>
      </c>
      <c r="F21" t="s">
        <v>172</v>
      </c>
      <c r="G21" t="s">
        <v>172</v>
      </c>
      <c r="H21" s="15">
        <v>237500</v>
      </c>
      <c r="I21" t="s">
        <v>172</v>
      </c>
      <c r="J21" t="s">
        <v>172</v>
      </c>
      <c r="K21" s="301">
        <v>3.1263569257490229E-2</v>
      </c>
      <c r="L21" s="15">
        <v>276000</v>
      </c>
      <c r="M21" t="s">
        <v>172</v>
      </c>
      <c r="N21" t="s">
        <v>172</v>
      </c>
      <c r="O21" s="15">
        <v>189700</v>
      </c>
      <c r="P21" t="s">
        <v>172</v>
      </c>
      <c r="Q21" t="s">
        <v>172</v>
      </c>
      <c r="R21" s="15">
        <v>268500</v>
      </c>
      <c r="S21" t="s">
        <v>172</v>
      </c>
      <c r="T21" t="s">
        <v>172</v>
      </c>
      <c r="U21" s="301">
        <v>-2.717391304347826E-2</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23"/>
      <c r="B22" s="123"/>
      <c r="C22" s="123"/>
      <c r="D22" s="123"/>
      <c r="E22" s="123"/>
      <c r="F22" s="123"/>
      <c r="G22" s="123"/>
      <c r="H22" s="123"/>
      <c r="I22" s="123"/>
      <c r="J22" s="123"/>
      <c r="K22" s="123"/>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2090</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1415</v>
      </c>
      <c r="B24" s="15">
        <v>841</v>
      </c>
      <c r="C24" t="s">
        <v>172</v>
      </c>
      <c r="D24" t="s">
        <v>172</v>
      </c>
      <c r="E24" s="15">
        <v>890</v>
      </c>
      <c r="F24" t="s">
        <v>172</v>
      </c>
      <c r="G24" t="s">
        <v>172</v>
      </c>
      <c r="H24" s="15">
        <v>1079</v>
      </c>
      <c r="I24" t="s">
        <v>172</v>
      </c>
      <c r="J24" t="s">
        <v>172</v>
      </c>
      <c r="K24" s="301">
        <v>0.28299643281807374</v>
      </c>
      <c r="L24" s="15">
        <v>864</v>
      </c>
      <c r="M24" t="s">
        <v>172</v>
      </c>
      <c r="N24" t="s">
        <v>172</v>
      </c>
      <c r="O24" s="15">
        <v>926</v>
      </c>
      <c r="P24" t="s">
        <v>172</v>
      </c>
      <c r="Q24" t="s">
        <v>172</v>
      </c>
      <c r="R24" s="15">
        <v>1068</v>
      </c>
      <c r="S24" t="s">
        <v>172</v>
      </c>
      <c r="T24" t="s">
        <v>172</v>
      </c>
      <c r="U24" s="301">
        <v>0.2361111111111111</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23"/>
      <c r="B25" s="123"/>
      <c r="C25" s="123"/>
      <c r="D25" s="123"/>
      <c r="E25" s="123"/>
      <c r="F25" s="123"/>
      <c r="G25" s="123"/>
      <c r="H25" s="123"/>
      <c r="I25" s="123"/>
      <c r="J25" s="123"/>
      <c r="K25" s="123"/>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2449</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8" t="s">
        <v>1706</v>
      </c>
      <c r="C27" s="309"/>
      <c r="D27" s="304" t="s">
        <v>1707</v>
      </c>
      <c r="E27" s="310" t="s">
        <v>1706</v>
      </c>
      <c r="F27" s="309"/>
      <c r="G27" s="304" t="s">
        <v>1707</v>
      </c>
      <c r="H27" s="310" t="s">
        <v>1706</v>
      </c>
      <c r="I27" s="309"/>
      <c r="J27" s="304" t="s">
        <v>1707</v>
      </c>
      <c r="K27" t="s">
        <v>172</v>
      </c>
      <c r="L27" s="304" t="s">
        <v>1706</v>
      </c>
      <c r="M27" s="304"/>
      <c r="N27" s="304" t="s">
        <v>1707</v>
      </c>
      <c r="O27" s="304" t="s">
        <v>1706</v>
      </c>
      <c r="P27" s="304"/>
      <c r="Q27" s="304" t="s">
        <v>1707</v>
      </c>
      <c r="R27" s="304" t="s">
        <v>1706</v>
      </c>
      <c r="S27" s="304"/>
      <c r="T27" s="304" t="s">
        <v>1707</v>
      </c>
      <c r="U27" t="s">
        <v>172</v>
      </c>
      <c r="V27" s="221" t="s">
        <v>1706</v>
      </c>
      <c r="W27" s="222"/>
      <c r="X27" s="222" t="s">
        <v>1707</v>
      </c>
      <c r="Y27" s="221" t="s">
        <v>1706</v>
      </c>
      <c r="Z27" s="222"/>
      <c r="AA27" s="222" t="s">
        <v>1707</v>
      </c>
      <c r="AB27" s="221" t="s">
        <v>1706</v>
      </c>
      <c r="AC27" s="222"/>
      <c r="AD27" s="222" t="s">
        <v>1707</v>
      </c>
      <c r="AE27" s="197" t="s">
        <v>172</v>
      </c>
    </row>
    <row r="28" spans="1:31" x14ac:dyDescent="0.3">
      <c r="A28" t="s">
        <v>174</v>
      </c>
      <c r="B28" s="2">
        <v>16172</v>
      </c>
      <c r="C28" t="s">
        <v>172</v>
      </c>
      <c r="D28" s="2">
        <v>510.30303030303003</v>
      </c>
      <c r="E28" s="2">
        <v>16610</v>
      </c>
      <c r="F28" t="s">
        <v>172</v>
      </c>
      <c r="G28" s="2">
        <v>651.51515151515105</v>
      </c>
      <c r="H28" s="2">
        <v>20387</v>
      </c>
      <c r="I28" t="s">
        <v>172</v>
      </c>
      <c r="J28" s="14">
        <v>764.24243200000001</v>
      </c>
      <c r="K28" s="301">
        <v>0.26063566658421966</v>
      </c>
      <c r="L28" s="2">
        <v>43362</v>
      </c>
      <c r="M28" t="s">
        <v>172</v>
      </c>
      <c r="N28" s="2">
        <v>953.93939393939399</v>
      </c>
      <c r="O28" s="2">
        <v>44353</v>
      </c>
      <c r="P28" t="s">
        <v>172</v>
      </c>
      <c r="Q28" s="2">
        <v>1060</v>
      </c>
      <c r="R28" s="2">
        <v>49786</v>
      </c>
      <c r="S28" t="s">
        <v>172</v>
      </c>
      <c r="T28" s="14">
        <v>995.75756799999999</v>
      </c>
      <c r="U28" s="301">
        <v>0.14814814814814814</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1747</v>
      </c>
      <c r="B29" s="2">
        <v>14768</v>
      </c>
      <c r="C29" s="301">
        <v>0.91318327974276525</v>
      </c>
      <c r="D29" s="2">
        <v>481.81818181818102</v>
      </c>
      <c r="E29" s="2">
        <v>14972</v>
      </c>
      <c r="F29" s="301">
        <v>0.90138470800722459</v>
      </c>
      <c r="G29" s="2">
        <v>609.69696969696895</v>
      </c>
      <c r="H29" s="2">
        <v>18893</v>
      </c>
      <c r="I29" s="301">
        <v>0.926718006572816</v>
      </c>
      <c r="J29" s="14">
        <v>723.03030000000001</v>
      </c>
      <c r="K29" s="301">
        <v>0.27932015167930663</v>
      </c>
      <c r="L29" s="2">
        <v>38940</v>
      </c>
      <c r="M29" s="301">
        <v>0.89802130898021304</v>
      </c>
      <c r="N29" s="2">
        <v>913.93939393939399</v>
      </c>
      <c r="O29" s="2">
        <v>40055</v>
      </c>
      <c r="P29" s="301">
        <v>0.90309561923657922</v>
      </c>
      <c r="Q29" s="2">
        <v>1011.51515151515</v>
      </c>
      <c r="R29" s="2">
        <v>44251</v>
      </c>
      <c r="S29" s="301">
        <v>0.88882416743662873</v>
      </c>
      <c r="T29" s="14">
        <v>927.27269999999999</v>
      </c>
      <c r="U29" s="301">
        <v>0.13638931689779146</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1748</v>
      </c>
      <c r="B30" s="2">
        <v>12711</v>
      </c>
      <c r="C30" s="301">
        <v>0.78598812762799897</v>
      </c>
      <c r="D30" s="2">
        <v>443.030303030303</v>
      </c>
      <c r="E30" s="2">
        <v>13298</v>
      </c>
      <c r="F30" s="301">
        <v>0.80060204695966286</v>
      </c>
      <c r="G30" s="2">
        <v>568.48484848484804</v>
      </c>
      <c r="H30" s="2">
        <v>16436</v>
      </c>
      <c r="I30" s="301">
        <v>0.80620002943051949</v>
      </c>
      <c r="J30" s="14">
        <v>648.48486300000002</v>
      </c>
      <c r="K30" s="301">
        <v>0.29305326095507828</v>
      </c>
      <c r="L30" s="2">
        <v>32331</v>
      </c>
      <c r="M30" s="301">
        <v>0.74560675245606756</v>
      </c>
      <c r="N30" s="2">
        <v>822.42424242424204</v>
      </c>
      <c r="O30" s="2">
        <v>33815</v>
      </c>
      <c r="P30" s="301">
        <v>0.76240615065497264</v>
      </c>
      <c r="Q30" s="2">
        <v>809.09090909090901</v>
      </c>
      <c r="R30" s="2">
        <v>37832</v>
      </c>
      <c r="S30" s="301">
        <v>0.75989233921182664</v>
      </c>
      <c r="T30" s="14">
        <v>872.72730000000001</v>
      </c>
      <c r="U30" s="301">
        <v>0.17014629921746929</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1749</v>
      </c>
      <c r="B31" s="2">
        <v>2057</v>
      </c>
      <c r="C31" s="301">
        <v>0.12719515211476626</v>
      </c>
      <c r="D31" s="2">
        <v>236.363636363636</v>
      </c>
      <c r="E31" s="2">
        <v>1674</v>
      </c>
      <c r="F31" s="301">
        <v>0.10078266104756171</v>
      </c>
      <c r="G31" s="2">
        <v>195.15151515151501</v>
      </c>
      <c r="H31" s="2">
        <v>2457</v>
      </c>
      <c r="I31" s="301">
        <v>0.12051797714229656</v>
      </c>
      <c r="J31" s="14">
        <v>297.57574499999998</v>
      </c>
      <c r="K31" s="301">
        <v>0.19445794846864364</v>
      </c>
      <c r="L31" s="2">
        <v>6609</v>
      </c>
      <c r="M31" s="301">
        <v>0.15241455652414557</v>
      </c>
      <c r="N31" s="2">
        <v>423.636363636363</v>
      </c>
      <c r="O31" s="2">
        <v>6240</v>
      </c>
      <c r="P31" s="301">
        <v>0.14068946858160666</v>
      </c>
      <c r="Q31" s="2">
        <v>436.36363636363598</v>
      </c>
      <c r="R31" s="2">
        <v>6419</v>
      </c>
      <c r="S31" s="301">
        <v>0.12893182822480215</v>
      </c>
      <c r="T31" s="14">
        <v>510.30304000000001</v>
      </c>
      <c r="U31" s="301">
        <v>-2.8748676047813587E-2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1490</v>
      </c>
      <c r="B32" s="2">
        <v>1468</v>
      </c>
      <c r="C32" s="301">
        <v>9.0774177590897842E-2</v>
      </c>
      <c r="D32" s="2">
        <v>194.54545454545399</v>
      </c>
      <c r="E32" s="2">
        <v>1059</v>
      </c>
      <c r="F32" s="301">
        <v>6.3756773028296201E-2</v>
      </c>
      <c r="G32" s="2">
        <v>134.54545454545399</v>
      </c>
      <c r="H32" s="2">
        <v>1787</v>
      </c>
      <c r="I32" s="301">
        <v>8.7653897091283656E-2</v>
      </c>
      <c r="J32" s="14">
        <v>261.21212800000001</v>
      </c>
      <c r="K32" s="301">
        <v>0.21730245231607628</v>
      </c>
      <c r="L32" s="2">
        <v>3659</v>
      </c>
      <c r="M32" s="301">
        <v>8.4382639177159727E-2</v>
      </c>
      <c r="N32" s="2">
        <v>290.30303030303003</v>
      </c>
      <c r="O32" s="2">
        <v>3646</v>
      </c>
      <c r="P32" s="301">
        <v>8.2204135007778498E-2</v>
      </c>
      <c r="Q32" s="2">
        <v>345.45454545454498</v>
      </c>
      <c r="R32" s="2">
        <v>4654</v>
      </c>
      <c r="S32" s="301">
        <v>9.3480094805768688E-2</v>
      </c>
      <c r="T32" s="14">
        <v>416.36364700000001</v>
      </c>
      <c r="U32" s="301">
        <v>0.27193222191855698</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1491</v>
      </c>
      <c r="B33" s="2">
        <v>248</v>
      </c>
      <c r="C33" s="301">
        <v>1.5335147167944596E-2</v>
      </c>
      <c r="D33" s="2">
        <v>64.242424242424207</v>
      </c>
      <c r="E33" s="2">
        <v>280</v>
      </c>
      <c r="F33" s="301">
        <v>1.6857314870559904E-2</v>
      </c>
      <c r="G33" s="2">
        <v>70.909090909090907</v>
      </c>
      <c r="H33" s="2">
        <v>539</v>
      </c>
      <c r="I33" s="301">
        <v>2.6438416638053661E-2</v>
      </c>
      <c r="J33" s="14">
        <v>143.636368</v>
      </c>
      <c r="K33" s="301">
        <v>1.1733870967741935</v>
      </c>
      <c r="L33" s="2">
        <v>1023</v>
      </c>
      <c r="M33" s="301">
        <v>2.3592085235920851E-2</v>
      </c>
      <c r="N33" s="2">
        <v>209.09090909090901</v>
      </c>
      <c r="O33" s="2">
        <v>886</v>
      </c>
      <c r="P33" s="301">
        <v>1.9976100827452485E-2</v>
      </c>
      <c r="Q33" s="2">
        <v>188.48484848484799</v>
      </c>
      <c r="R33" s="2">
        <v>1153</v>
      </c>
      <c r="S33" s="301">
        <v>2.3159121038042824E-2</v>
      </c>
      <c r="T33" s="14">
        <v>221.81817599999999</v>
      </c>
      <c r="U33" s="301">
        <v>0.1270772238514174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1492</v>
      </c>
      <c r="B34" s="2">
        <v>136</v>
      </c>
      <c r="C34" s="301">
        <v>8.4095968340341335E-3</v>
      </c>
      <c r="D34" s="2">
        <v>69.090909090909093</v>
      </c>
      <c r="E34" s="2">
        <v>45</v>
      </c>
      <c r="F34" s="301">
        <v>2.7092113184828417E-3</v>
      </c>
      <c r="G34" s="2">
        <v>25.4545454545454</v>
      </c>
      <c r="H34" s="2">
        <v>27</v>
      </c>
      <c r="I34" s="301">
        <v>1.3243733751900722E-3</v>
      </c>
      <c r="J34" s="14">
        <v>24.242424</v>
      </c>
      <c r="K34" s="301">
        <v>-0.80147058823529416</v>
      </c>
      <c r="L34" s="2">
        <v>621</v>
      </c>
      <c r="M34" s="301">
        <v>1.4321295143212951E-2</v>
      </c>
      <c r="N34" s="2">
        <v>140.60606060606</v>
      </c>
      <c r="O34" s="2">
        <v>597</v>
      </c>
      <c r="P34" s="301">
        <v>1.3460194349874867E-2</v>
      </c>
      <c r="Q34" s="2">
        <v>136.969696969696</v>
      </c>
      <c r="R34" s="2">
        <v>243</v>
      </c>
      <c r="S34" s="301">
        <v>4.8808902100992251E-3</v>
      </c>
      <c r="T34" s="14">
        <v>100</v>
      </c>
      <c r="U34" s="301">
        <v>-0.60869565217391308</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1750</v>
      </c>
      <c r="B35" s="2">
        <v>139</v>
      </c>
      <c r="C35" s="301">
        <v>8.5951026465495919E-3</v>
      </c>
      <c r="D35" s="2">
        <v>60.606060606060602</v>
      </c>
      <c r="E35" s="2">
        <v>184</v>
      </c>
      <c r="F35" s="301">
        <v>1.1077664057796508E-2</v>
      </c>
      <c r="G35" s="2">
        <v>75.151515151515099</v>
      </c>
      <c r="H35" s="2">
        <v>55</v>
      </c>
      <c r="I35" s="301">
        <v>2.6977976161279248E-3</v>
      </c>
      <c r="J35" s="14">
        <v>40</v>
      </c>
      <c r="K35" s="301">
        <v>-0.60431654676258995</v>
      </c>
      <c r="L35" s="2">
        <v>660</v>
      </c>
      <c r="M35" s="301">
        <v>1.5220700152207001E-2</v>
      </c>
      <c r="N35" s="2">
        <v>186.06060606060601</v>
      </c>
      <c r="O35" s="2">
        <v>552</v>
      </c>
      <c r="P35" s="301">
        <v>1.2445606836065205E-2</v>
      </c>
      <c r="Q35" s="2">
        <v>146.06060606060601</v>
      </c>
      <c r="R35" s="2">
        <v>141</v>
      </c>
      <c r="S35" s="301">
        <v>2.832121479934118E-3</v>
      </c>
      <c r="T35" s="14">
        <v>65.454544100000007</v>
      </c>
      <c r="U35" s="301">
        <v>-0.78636363636363638</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1751</v>
      </c>
      <c r="B36" s="2">
        <v>66</v>
      </c>
      <c r="C36" s="301">
        <v>4.0811278753400942E-3</v>
      </c>
      <c r="D36" s="2">
        <v>29.090909090909101</v>
      </c>
      <c r="E36" s="2">
        <v>106</v>
      </c>
      <c r="F36" s="301">
        <v>6.3816977724262492E-3</v>
      </c>
      <c r="G36" s="2">
        <v>59.393939393939398</v>
      </c>
      <c r="H36" s="2">
        <v>49</v>
      </c>
      <c r="I36" s="301">
        <v>2.403492421641242E-3</v>
      </c>
      <c r="J36" s="14">
        <v>28.484848</v>
      </c>
      <c r="K36" s="301">
        <v>-0.25757575757575757</v>
      </c>
      <c r="L36" s="2">
        <v>646</v>
      </c>
      <c r="M36" s="301">
        <v>1.4897836815645035E-2</v>
      </c>
      <c r="N36" s="2">
        <v>146.06060606060601</v>
      </c>
      <c r="O36" s="2">
        <v>559</v>
      </c>
      <c r="P36" s="301">
        <v>1.2603431560435596E-2</v>
      </c>
      <c r="Q36" s="2">
        <v>151.51515151515099</v>
      </c>
      <c r="R36" s="2">
        <v>228</v>
      </c>
      <c r="S36" s="301">
        <v>4.5796006909572971E-3</v>
      </c>
      <c r="T36" s="14">
        <v>77.575760000000002</v>
      </c>
      <c r="U36" s="301">
        <v>-0.6470588235294118</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1752</v>
      </c>
      <c r="B37" s="2">
        <v>80</v>
      </c>
      <c r="C37" s="301">
        <v>4.9468216670789022E-3</v>
      </c>
      <c r="D37" s="2">
        <v>50.303030303030297</v>
      </c>
      <c r="E37" s="2">
        <v>66</v>
      </c>
      <c r="F37" s="301">
        <v>3.9735099337748344E-3</v>
      </c>
      <c r="G37" s="2">
        <v>38.787878787878697</v>
      </c>
      <c r="H37" s="2">
        <v>46</v>
      </c>
      <c r="I37" s="301">
        <v>2.2563398243979006E-3</v>
      </c>
      <c r="J37" s="14">
        <v>27.272728000000001</v>
      </c>
      <c r="K37" s="301">
        <v>-0.42499999999999999</v>
      </c>
      <c r="L37" s="2">
        <v>99</v>
      </c>
      <c r="M37" s="301">
        <v>2.2831050228310501E-3</v>
      </c>
      <c r="N37" s="2">
        <v>50.303030303030297</v>
      </c>
      <c r="O37" s="2">
        <v>136</v>
      </c>
      <c r="P37" s="301">
        <v>3.0663089306247606E-3</v>
      </c>
      <c r="Q37" s="2">
        <v>47.272727272727202</v>
      </c>
      <c r="R37" s="2">
        <v>136</v>
      </c>
      <c r="S37" s="301">
        <v>2.7316916402201422E-3</v>
      </c>
      <c r="T37" s="14">
        <v>54.5454559</v>
      </c>
      <c r="U37" s="301">
        <v>0.37373737373737376</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1753</v>
      </c>
      <c r="B38" s="2">
        <v>80</v>
      </c>
      <c r="C38" s="301">
        <v>4.9468216670789022E-3</v>
      </c>
      <c r="D38" s="2">
        <v>50.303030303030297</v>
      </c>
      <c r="E38" s="2">
        <v>66</v>
      </c>
      <c r="F38" s="301">
        <v>3.9735099337748344E-3</v>
      </c>
      <c r="G38" s="2">
        <v>38.787878787878697</v>
      </c>
      <c r="H38" s="2">
        <v>35</v>
      </c>
      <c r="I38" s="301">
        <v>1.7167803011723156E-3</v>
      </c>
      <c r="J38" s="14">
        <v>23.636364</v>
      </c>
      <c r="K38" s="301">
        <v>-0.5625</v>
      </c>
      <c r="L38" s="2">
        <v>91</v>
      </c>
      <c r="M38" s="301">
        <v>2.0986116876527835E-3</v>
      </c>
      <c r="N38" s="2">
        <v>50.909090909090899</v>
      </c>
      <c r="O38" s="2">
        <v>118</v>
      </c>
      <c r="P38" s="301">
        <v>2.6604739251008952E-3</v>
      </c>
      <c r="Q38" s="2">
        <v>45.454545454545404</v>
      </c>
      <c r="R38" s="2">
        <v>90</v>
      </c>
      <c r="S38" s="301">
        <v>1.8077371148515647E-3</v>
      </c>
      <c r="T38" s="14">
        <v>38.181820000000002</v>
      </c>
      <c r="U38" s="301">
        <v>-1.098901098901099E-2</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1754</v>
      </c>
      <c r="B39" s="2">
        <v>0</v>
      </c>
      <c r="C39" s="301">
        <v>0</v>
      </c>
      <c r="D39" s="2">
        <v>72.121212121212096</v>
      </c>
      <c r="E39" s="2">
        <v>0</v>
      </c>
      <c r="F39" s="301">
        <v>0</v>
      </c>
      <c r="G39" s="2">
        <v>16.363636363636299</v>
      </c>
      <c r="H39" s="2">
        <v>11</v>
      </c>
      <c r="I39" s="301">
        <v>5.3955952322558493E-4</v>
      </c>
      <c r="J39" s="14">
        <v>14.545455</v>
      </c>
      <c r="L39" s="2">
        <v>0</v>
      </c>
      <c r="M39" s="301">
        <v>0</v>
      </c>
      <c r="N39" s="2">
        <v>72.121212121212096</v>
      </c>
      <c r="O39" s="2">
        <v>0</v>
      </c>
      <c r="P39" s="301">
        <v>0</v>
      </c>
      <c r="Q39" s="2">
        <v>16.363636363636299</v>
      </c>
      <c r="R39" s="2">
        <v>11</v>
      </c>
      <c r="S39" s="301">
        <v>2.2094564737074681E-4</v>
      </c>
      <c r="T39" s="14">
        <v>14.545455</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1755</v>
      </c>
      <c r="B40" s="2">
        <v>0</v>
      </c>
      <c r="C40" s="301">
        <v>0</v>
      </c>
      <c r="D40" s="2">
        <v>72.121212121212096</v>
      </c>
      <c r="E40" s="2">
        <v>0</v>
      </c>
      <c r="F40" s="301">
        <v>0</v>
      </c>
      <c r="G40" s="2">
        <v>16.363636363636299</v>
      </c>
      <c r="H40" s="2">
        <v>0</v>
      </c>
      <c r="I40" s="301">
        <v>0</v>
      </c>
      <c r="J40" s="14">
        <v>17.575758</v>
      </c>
      <c r="L40" s="2">
        <v>0</v>
      </c>
      <c r="M40" s="301">
        <v>0</v>
      </c>
      <c r="N40" s="2">
        <v>72.121212121212096</v>
      </c>
      <c r="O40" s="2">
        <v>18</v>
      </c>
      <c r="P40" s="301">
        <v>4.0583500552386533E-4</v>
      </c>
      <c r="Q40" s="2">
        <v>17.5757575757575</v>
      </c>
      <c r="R40" s="2">
        <v>0</v>
      </c>
      <c r="S40" s="301">
        <v>0</v>
      </c>
      <c r="T40" s="14">
        <v>17.575758</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1756</v>
      </c>
      <c r="B41" s="2">
        <v>0</v>
      </c>
      <c r="C41" s="301">
        <v>0</v>
      </c>
      <c r="D41" s="2">
        <v>72.121212121212096</v>
      </c>
      <c r="E41" s="2">
        <v>0</v>
      </c>
      <c r="F41" s="301">
        <v>0</v>
      </c>
      <c r="G41" s="2">
        <v>16.363636363636299</v>
      </c>
      <c r="H41" s="2">
        <v>0</v>
      </c>
      <c r="I41" s="301">
        <v>0</v>
      </c>
      <c r="J41" s="14">
        <v>17.575758</v>
      </c>
      <c r="L41" s="2">
        <v>8</v>
      </c>
      <c r="M41" s="301">
        <v>1.8449333517826669E-4</v>
      </c>
      <c r="N41" s="2">
        <v>7.8787878787878798</v>
      </c>
      <c r="O41" s="2">
        <v>0</v>
      </c>
      <c r="P41" s="301">
        <v>0</v>
      </c>
      <c r="Q41" s="2">
        <v>16.363636363636299</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1500</v>
      </c>
      <c r="B42" s="2">
        <v>0</v>
      </c>
      <c r="C42" s="301">
        <v>0</v>
      </c>
      <c r="D42" s="2">
        <v>72.121212121212096</v>
      </c>
      <c r="E42" s="2">
        <v>0</v>
      </c>
      <c r="F42" s="301">
        <v>0</v>
      </c>
      <c r="G42" s="2">
        <v>16.363636363636299</v>
      </c>
      <c r="H42" s="2">
        <v>0</v>
      </c>
      <c r="I42" s="301">
        <v>0</v>
      </c>
      <c r="J42" s="14">
        <v>17.575758</v>
      </c>
      <c r="L42" s="2">
        <v>0</v>
      </c>
      <c r="M42" s="301">
        <v>0</v>
      </c>
      <c r="N42" s="2">
        <v>72.121212121212096</v>
      </c>
      <c r="O42" s="2">
        <v>0</v>
      </c>
      <c r="P42" s="301">
        <v>0</v>
      </c>
      <c r="Q42" s="2">
        <v>16.363636363636299</v>
      </c>
      <c r="R42" s="2">
        <v>35</v>
      </c>
      <c r="S42" s="301">
        <v>7.0300887799783066E-4</v>
      </c>
      <c r="T42" s="14">
        <v>36.363636</v>
      </c>
      <c r="V42" s="198">
        <v>5431</v>
      </c>
      <c r="W42" s="220">
        <v>0</v>
      </c>
      <c r="X42" s="197">
        <v>279</v>
      </c>
      <c r="Y42" s="198">
        <v>8623</v>
      </c>
      <c r="Z42" s="220">
        <v>1E-3</v>
      </c>
      <c r="AA42" s="197">
        <v>418</v>
      </c>
      <c r="AB42" s="198">
        <v>12170</v>
      </c>
      <c r="AC42" s="220">
        <v>1E-3</v>
      </c>
      <c r="AD42" s="197">
        <v>455.15</v>
      </c>
      <c r="AE42" s="220">
        <v>1.2410000000000001</v>
      </c>
    </row>
    <row r="43" spans="1:31" x14ac:dyDescent="0.3">
      <c r="A43" t="s">
        <v>1501</v>
      </c>
      <c r="B43" s="2">
        <v>0</v>
      </c>
      <c r="C43" s="301">
        <v>0</v>
      </c>
      <c r="D43" s="2">
        <v>72.121212121212096</v>
      </c>
      <c r="E43" s="2">
        <v>0</v>
      </c>
      <c r="F43" s="301">
        <v>0</v>
      </c>
      <c r="G43" s="2">
        <v>16.363636363636299</v>
      </c>
      <c r="H43" s="2">
        <v>9</v>
      </c>
      <c r="I43" s="301">
        <v>4.4145779173002401E-4</v>
      </c>
      <c r="J43" s="14">
        <v>7.8787880000000001</v>
      </c>
      <c r="L43" s="2">
        <v>0</v>
      </c>
      <c r="M43" s="301">
        <v>0</v>
      </c>
      <c r="N43" s="2">
        <v>72.121212121212096</v>
      </c>
      <c r="O43" s="2">
        <v>0</v>
      </c>
      <c r="P43" s="301">
        <v>0</v>
      </c>
      <c r="Q43" s="2">
        <v>16.363636363636299</v>
      </c>
      <c r="R43" s="2">
        <v>9</v>
      </c>
      <c r="S43" s="301">
        <v>1.8077371148515647E-4</v>
      </c>
      <c r="T43" s="14">
        <v>7.8787880000000001</v>
      </c>
      <c r="V43" s="198">
        <v>6671</v>
      </c>
      <c r="W43" s="220">
        <v>0</v>
      </c>
      <c r="X43" s="197">
        <v>375</v>
      </c>
      <c r="Y43" s="198">
        <v>8684</v>
      </c>
      <c r="Z43" s="220">
        <v>1E-3</v>
      </c>
      <c r="AA43" s="197">
        <v>413</v>
      </c>
      <c r="AB43" s="198">
        <v>36319</v>
      </c>
      <c r="AC43" s="220">
        <v>2E-3</v>
      </c>
      <c r="AD43" s="197">
        <v>977.58</v>
      </c>
      <c r="AE43" s="220">
        <v>4.444</v>
      </c>
    </row>
    <row r="44" spans="1:31" x14ac:dyDescent="0.3">
      <c r="A44" t="s">
        <v>1502</v>
      </c>
      <c r="B44" s="2">
        <v>34</v>
      </c>
      <c r="C44" s="301">
        <v>2.1023992085085334E-3</v>
      </c>
      <c r="D44" s="2">
        <v>20</v>
      </c>
      <c r="E44" s="2">
        <v>61</v>
      </c>
      <c r="F44" s="301">
        <v>3.6724864539434076E-3</v>
      </c>
      <c r="G44" s="2">
        <v>36.363636363636303</v>
      </c>
      <c r="H44" s="2">
        <v>3</v>
      </c>
      <c r="I44" s="301">
        <v>1.4715259724334135E-4</v>
      </c>
      <c r="J44" s="14">
        <v>4.2424239999999998</v>
      </c>
      <c r="K44" s="301">
        <v>-0.91176470588235292</v>
      </c>
      <c r="L44" s="2">
        <v>69</v>
      </c>
      <c r="M44" s="301">
        <v>1.5912550159125501E-3</v>
      </c>
      <c r="N44" s="2">
        <v>27.272727272727199</v>
      </c>
      <c r="O44" s="2">
        <v>150</v>
      </c>
      <c r="P44" s="301">
        <v>3.3819583793655446E-3</v>
      </c>
      <c r="Q44" s="2">
        <v>56.363636363636303</v>
      </c>
      <c r="R44" s="2">
        <v>50</v>
      </c>
      <c r="S44" s="301">
        <v>1.0042983971397582E-3</v>
      </c>
      <c r="T44" s="14">
        <v>26.666665999999999</v>
      </c>
      <c r="U44" s="301">
        <v>-0.27536231884057971</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1503</v>
      </c>
      <c r="B45" s="2">
        <v>157</v>
      </c>
      <c r="C45" s="301">
        <v>9.7081375216423443E-3</v>
      </c>
      <c r="D45" s="2">
        <v>72.121212121212096</v>
      </c>
      <c r="E45" s="2">
        <v>106</v>
      </c>
      <c r="F45" s="301">
        <v>6.3816977724262492E-3</v>
      </c>
      <c r="G45" s="2">
        <v>41.818181818181799</v>
      </c>
      <c r="H45" s="2">
        <v>94</v>
      </c>
      <c r="I45" s="301">
        <v>4.6107813802913622E-3</v>
      </c>
      <c r="J45" s="14">
        <v>69.090909999999994</v>
      </c>
      <c r="K45" s="301">
        <v>-0.40127388535031849</v>
      </c>
      <c r="L45" s="2">
        <v>192</v>
      </c>
      <c r="M45" s="301">
        <v>4.4278400442784001E-3</v>
      </c>
      <c r="N45" s="2">
        <v>74.545454545454504</v>
      </c>
      <c r="O45" s="2">
        <v>237</v>
      </c>
      <c r="P45" s="301">
        <v>5.3434942393975607E-3</v>
      </c>
      <c r="Q45" s="2">
        <v>62.424242424242401</v>
      </c>
      <c r="R45" s="2">
        <v>115</v>
      </c>
      <c r="S45" s="301">
        <v>2.3098863134214439E-3</v>
      </c>
      <c r="T45" s="14">
        <v>72.121215800000002</v>
      </c>
      <c r="U45" s="301">
        <v>-0.40104166666666669</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1504</v>
      </c>
      <c r="B46" s="2">
        <v>305</v>
      </c>
      <c r="C46" s="301">
        <v>1.8859757605738312E-2</v>
      </c>
      <c r="D46" s="2">
        <v>90.909090909090907</v>
      </c>
      <c r="E46" s="2">
        <v>552</v>
      </c>
      <c r="F46" s="301">
        <v>3.3232992173389528E-2</v>
      </c>
      <c r="G46" s="2">
        <v>129.09090909090901</v>
      </c>
      <c r="H46" s="2">
        <v>179</v>
      </c>
      <c r="I46" s="301">
        <v>8.7801049688526998E-3</v>
      </c>
      <c r="J46" s="14">
        <v>53.939392099999999</v>
      </c>
      <c r="K46" s="301">
        <v>-0.41311475409836068</v>
      </c>
      <c r="L46" s="2">
        <v>881</v>
      </c>
      <c r="M46" s="301">
        <v>2.0317328536506619E-2</v>
      </c>
      <c r="N46" s="2">
        <v>200</v>
      </c>
      <c r="O46" s="2">
        <v>1033</v>
      </c>
      <c r="P46" s="301">
        <v>2.3290420039230719E-2</v>
      </c>
      <c r="Q46" s="2">
        <v>153.333333333333</v>
      </c>
      <c r="R46" s="2">
        <v>1064</v>
      </c>
      <c r="S46" s="301">
        <v>2.1371469891134053E-2</v>
      </c>
      <c r="T46" s="14">
        <v>176.363632</v>
      </c>
      <c r="U46" s="301">
        <v>0.20771850170261066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1506</v>
      </c>
      <c r="B47" s="2">
        <v>149</v>
      </c>
      <c r="C47" s="301">
        <v>9.213455354934454E-3</v>
      </c>
      <c r="D47" s="2">
        <v>51.515151515151501</v>
      </c>
      <c r="E47" s="2">
        <v>297</v>
      </c>
      <c r="F47" s="301">
        <v>1.7880794701986755E-2</v>
      </c>
      <c r="G47" s="2">
        <v>93.939393939393895</v>
      </c>
      <c r="H47" s="2">
        <v>361</v>
      </c>
      <c r="I47" s="301">
        <v>1.7707362534948742E-2</v>
      </c>
      <c r="J47" s="14">
        <v>101.818184</v>
      </c>
      <c r="K47" s="301">
        <v>1.4228187919463087</v>
      </c>
      <c r="L47" s="2">
        <v>426</v>
      </c>
      <c r="M47" s="301">
        <v>9.8242700982427017E-3</v>
      </c>
      <c r="N47" s="2">
        <v>86.6666666666666</v>
      </c>
      <c r="O47" s="2">
        <v>652</v>
      </c>
      <c r="P47" s="301">
        <v>1.4700245755642233E-2</v>
      </c>
      <c r="Q47" s="2">
        <v>141.21212121212099</v>
      </c>
      <c r="R47" s="2">
        <v>1372</v>
      </c>
      <c r="S47" s="301">
        <v>2.7557948017514964E-2</v>
      </c>
      <c r="T47" s="14">
        <v>238.78787199999999</v>
      </c>
      <c r="U47" s="301">
        <v>2.220657276995305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1757</v>
      </c>
      <c r="B48" s="2">
        <v>679</v>
      </c>
      <c r="C48" s="301">
        <v>4.1986148899332179E-2</v>
      </c>
      <c r="D48" s="2">
        <v>116.363636363636</v>
      </c>
      <c r="E48" s="2">
        <v>556</v>
      </c>
      <c r="F48" s="301">
        <v>3.3473810957254664E-2</v>
      </c>
      <c r="G48" s="2">
        <v>133.333333333333</v>
      </c>
      <c r="H48" s="2">
        <v>802</v>
      </c>
      <c r="I48" s="301">
        <v>3.9338794329719921E-2</v>
      </c>
      <c r="J48" s="14">
        <v>176.363632</v>
      </c>
      <c r="K48" s="301">
        <v>0.18114874815905743</v>
      </c>
      <c r="L48" s="2">
        <v>2755</v>
      </c>
      <c r="M48" s="301">
        <v>6.3534892302015589E-2</v>
      </c>
      <c r="N48" s="2">
        <v>258.18181818181802</v>
      </c>
      <c r="O48" s="2">
        <v>2090</v>
      </c>
      <c r="P48" s="301">
        <v>4.7121953419159923E-2</v>
      </c>
      <c r="Q48" s="2">
        <v>224.24242424242399</v>
      </c>
      <c r="R48" s="2">
        <v>2789</v>
      </c>
      <c r="S48" s="301">
        <v>5.6019764592455709E-2</v>
      </c>
      <c r="T48" s="14">
        <v>284.24243200000001</v>
      </c>
      <c r="U48" s="301">
        <v>1.2341197822141561E-2</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23"/>
      <c r="B49" s="123"/>
      <c r="C49" s="123"/>
      <c r="D49" s="123"/>
      <c r="E49" s="123"/>
      <c r="F49" s="123"/>
      <c r="G49" s="123"/>
      <c r="H49" s="123"/>
      <c r="I49" s="123"/>
      <c r="J49" s="123"/>
      <c r="K49" s="123"/>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1977</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8" t="s">
        <v>1706</v>
      </c>
      <c r="C51" s="309"/>
      <c r="D51" s="304" t="s">
        <v>1707</v>
      </c>
      <c r="E51" s="310" t="s">
        <v>1706</v>
      </c>
      <c r="F51" s="309"/>
      <c r="G51" s="304" t="s">
        <v>1707</v>
      </c>
      <c r="H51" s="310" t="s">
        <v>1706</v>
      </c>
      <c r="I51" s="309"/>
      <c r="J51" s="304" t="s">
        <v>1707</v>
      </c>
      <c r="K51" t="s">
        <v>172</v>
      </c>
      <c r="L51" s="304" t="s">
        <v>1706</v>
      </c>
      <c r="M51" s="304"/>
      <c r="N51" s="304" t="s">
        <v>1707</v>
      </c>
      <c r="O51" s="304" t="s">
        <v>1706</v>
      </c>
      <c r="P51" s="304"/>
      <c r="Q51" s="304" t="s">
        <v>1707</v>
      </c>
      <c r="R51" s="304" t="s">
        <v>1706</v>
      </c>
      <c r="S51" s="304"/>
      <c r="T51" s="304" t="s">
        <v>1707</v>
      </c>
      <c r="U51" t="s">
        <v>172</v>
      </c>
      <c r="V51" s="221" t="s">
        <v>1706</v>
      </c>
      <c r="W51" s="222"/>
      <c r="X51" s="222" t="s">
        <v>1707</v>
      </c>
      <c r="Y51" s="221" t="s">
        <v>1706</v>
      </c>
      <c r="Z51" s="222"/>
      <c r="AA51" s="222" t="s">
        <v>1707</v>
      </c>
      <c r="AB51" s="221" t="s">
        <v>1706</v>
      </c>
      <c r="AC51" s="222"/>
      <c r="AD51" s="222" t="s">
        <v>1707</v>
      </c>
      <c r="AE51" s="197" t="s">
        <v>172</v>
      </c>
    </row>
    <row r="52" spans="1:31" x14ac:dyDescent="0.3">
      <c r="A52" t="s">
        <v>1978</v>
      </c>
      <c r="B52" s="15">
        <v>1298</v>
      </c>
      <c r="C52" t="s">
        <v>172</v>
      </c>
      <c r="D52" s="15">
        <v>40</v>
      </c>
      <c r="E52" s="15">
        <v>1057</v>
      </c>
      <c r="F52" t="s">
        <v>172</v>
      </c>
      <c r="G52" s="15">
        <v>28.484848484848399</v>
      </c>
      <c r="H52" s="2">
        <v>1233</v>
      </c>
      <c r="I52" t="s">
        <v>172</v>
      </c>
      <c r="J52" s="14">
        <v>47.878788</v>
      </c>
      <c r="K52" s="301">
        <v>-5.007704160246533E-2</v>
      </c>
      <c r="L52" s="15">
        <v>1294</v>
      </c>
      <c r="M52" t="s">
        <v>172</v>
      </c>
      <c r="N52" s="15">
        <v>30.303030303030301</v>
      </c>
      <c r="O52" s="15">
        <v>1105</v>
      </c>
      <c r="P52" t="s">
        <v>172</v>
      </c>
      <c r="Q52" s="15">
        <v>21.818181818181799</v>
      </c>
      <c r="R52" s="2">
        <v>1240</v>
      </c>
      <c r="S52" t="s">
        <v>172</v>
      </c>
      <c r="T52" s="14">
        <v>33.939392099999999</v>
      </c>
      <c r="U52" s="301">
        <v>-4.1731066460587329E-2</v>
      </c>
      <c r="V52" s="219">
        <v>1882</v>
      </c>
      <c r="W52" s="197" t="s">
        <v>172</v>
      </c>
      <c r="X52" s="219">
        <v>2</v>
      </c>
      <c r="Y52" s="219">
        <v>1693</v>
      </c>
      <c r="Z52" s="197" t="s">
        <v>172</v>
      </c>
      <c r="AA52" s="219">
        <v>2</v>
      </c>
      <c r="AB52" s="198">
        <v>1851</v>
      </c>
      <c r="AC52" s="197" t="s">
        <v>172</v>
      </c>
      <c r="AD52" s="197">
        <v>3.03</v>
      </c>
      <c r="AE52" s="220">
        <v>-1.6E-2</v>
      </c>
    </row>
    <row r="53" spans="1:31" x14ac:dyDescent="0.3">
      <c r="A53" t="s">
        <v>1979</v>
      </c>
      <c r="B53" s="15">
        <v>1583</v>
      </c>
      <c r="C53" t="s">
        <v>172</v>
      </c>
      <c r="D53" s="15">
        <v>50.303030303030297</v>
      </c>
      <c r="E53" s="15">
        <v>1254</v>
      </c>
      <c r="F53" t="s">
        <v>172</v>
      </c>
      <c r="G53" s="15">
        <v>32.121212121212103</v>
      </c>
      <c r="H53" s="2">
        <v>1457</v>
      </c>
      <c r="I53" t="s">
        <v>172</v>
      </c>
      <c r="J53" s="14">
        <v>38.181820000000002</v>
      </c>
      <c r="K53" s="301">
        <v>-7.9595704358812386E-2</v>
      </c>
      <c r="L53" s="15">
        <v>1701</v>
      </c>
      <c r="M53" t="s">
        <v>172</v>
      </c>
      <c r="N53" s="15">
        <v>33.939393939393902</v>
      </c>
      <c r="O53" s="15">
        <v>1450</v>
      </c>
      <c r="P53" t="s">
        <v>172</v>
      </c>
      <c r="Q53" s="15">
        <v>20</v>
      </c>
      <c r="R53" s="2">
        <v>1578</v>
      </c>
      <c r="S53" t="s">
        <v>172</v>
      </c>
      <c r="T53" s="14">
        <v>26.060606</v>
      </c>
      <c r="U53" s="301">
        <v>-7.2310405643738973E-2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1980</v>
      </c>
      <c r="B54" s="15">
        <v>345</v>
      </c>
      <c r="C54" t="s">
        <v>172</v>
      </c>
      <c r="D54" s="15">
        <v>11.5151515151515</v>
      </c>
      <c r="E54" s="15">
        <v>357</v>
      </c>
      <c r="F54" t="s">
        <v>172</v>
      </c>
      <c r="G54" s="15">
        <v>18.7878787878787</v>
      </c>
      <c r="H54" s="2">
        <v>463</v>
      </c>
      <c r="I54" t="s">
        <v>172</v>
      </c>
      <c r="J54" s="14">
        <v>19.393940000000001</v>
      </c>
      <c r="K54" s="301">
        <v>0.34202898550724636</v>
      </c>
      <c r="L54" s="15">
        <v>391</v>
      </c>
      <c r="M54" t="s">
        <v>172</v>
      </c>
      <c r="N54" s="15">
        <v>12.1212121212121</v>
      </c>
      <c r="O54" s="15">
        <v>414</v>
      </c>
      <c r="P54" t="s">
        <v>172</v>
      </c>
      <c r="Q54" s="15">
        <v>12.1212121212121</v>
      </c>
      <c r="R54" s="2">
        <v>490</v>
      </c>
      <c r="S54" t="s">
        <v>172</v>
      </c>
      <c r="T54" s="14">
        <v>11.515152</v>
      </c>
      <c r="U54" s="301">
        <v>0.25319693094629159</v>
      </c>
      <c r="V54" s="219">
        <v>450</v>
      </c>
      <c r="W54" s="197" t="s">
        <v>172</v>
      </c>
      <c r="X54" s="219">
        <v>1</v>
      </c>
      <c r="Y54" s="219">
        <v>500</v>
      </c>
      <c r="Z54" s="197" t="s">
        <v>172</v>
      </c>
      <c r="AA54" s="219">
        <v>1</v>
      </c>
      <c r="AB54" s="197">
        <v>618</v>
      </c>
      <c r="AC54" s="197" t="s">
        <v>172</v>
      </c>
      <c r="AD54" s="197">
        <v>1.21</v>
      </c>
      <c r="AE54" s="220">
        <v>0.373</v>
      </c>
    </row>
    <row r="55" spans="1:31" x14ac:dyDescent="0.3">
      <c r="A55" s="123"/>
      <c r="B55" s="123"/>
      <c r="C55" s="123"/>
      <c r="D55" s="123"/>
      <c r="E55" s="123"/>
      <c r="F55" s="123"/>
      <c r="G55" s="123"/>
      <c r="H55" s="123"/>
      <c r="I55" s="123"/>
      <c r="J55" s="123"/>
      <c r="K55" s="123"/>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1998</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8" t="s">
        <v>1706</v>
      </c>
      <c r="C57" s="309"/>
      <c r="D57" s="304" t="s">
        <v>1707</v>
      </c>
      <c r="E57" s="310" t="s">
        <v>1706</v>
      </c>
      <c r="F57" s="309"/>
      <c r="G57" s="304" t="s">
        <v>1707</v>
      </c>
      <c r="H57" s="310" t="s">
        <v>1706</v>
      </c>
      <c r="I57" s="309"/>
      <c r="J57" s="304" t="s">
        <v>1707</v>
      </c>
      <c r="K57" t="s">
        <v>172</v>
      </c>
      <c r="L57" s="304" t="s">
        <v>1706</v>
      </c>
      <c r="M57" s="304"/>
      <c r="N57" s="304" t="s">
        <v>1707</v>
      </c>
      <c r="O57" s="304" t="s">
        <v>1706</v>
      </c>
      <c r="P57" s="304"/>
      <c r="Q57" s="304" t="s">
        <v>1707</v>
      </c>
      <c r="R57" s="304" t="s">
        <v>1706</v>
      </c>
      <c r="S57" s="304"/>
      <c r="T57" s="304" t="s">
        <v>1707</v>
      </c>
      <c r="U57" t="s">
        <v>172</v>
      </c>
      <c r="V57" s="221" t="s">
        <v>1706</v>
      </c>
      <c r="W57" s="222"/>
      <c r="X57" s="222" t="s">
        <v>1707</v>
      </c>
      <c r="Y57" s="221" t="s">
        <v>1706</v>
      </c>
      <c r="Z57" s="222"/>
      <c r="AA57" s="222" t="s">
        <v>1707</v>
      </c>
      <c r="AB57" s="221" t="s">
        <v>1706</v>
      </c>
      <c r="AC57" s="222"/>
      <c r="AD57" s="222" t="s">
        <v>1707</v>
      </c>
      <c r="AE57" s="197" t="s">
        <v>172</v>
      </c>
    </row>
    <row r="58" spans="1:31" x14ac:dyDescent="0.3">
      <c r="A58" t="s">
        <v>1999</v>
      </c>
      <c r="B58" s="15">
        <v>972</v>
      </c>
      <c r="C58" t="s">
        <v>172</v>
      </c>
      <c r="D58" s="15">
        <v>18.181818181818102</v>
      </c>
      <c r="E58" s="15">
        <v>949</v>
      </c>
      <c r="F58" t="s">
        <v>172</v>
      </c>
      <c r="G58" s="15">
        <v>15.151515151515101</v>
      </c>
      <c r="H58" s="2">
        <v>1137</v>
      </c>
      <c r="I58" t="s">
        <v>172</v>
      </c>
      <c r="J58" s="14">
        <v>24.242424</v>
      </c>
      <c r="K58" s="301">
        <v>0.16975308641975309</v>
      </c>
      <c r="L58" s="15">
        <v>1051</v>
      </c>
      <c r="M58" t="s">
        <v>172</v>
      </c>
      <c r="N58" s="15">
        <v>23.030303030302999</v>
      </c>
      <c r="O58" s="15">
        <v>1003</v>
      </c>
      <c r="P58" t="s">
        <v>172</v>
      </c>
      <c r="Q58" s="15">
        <v>16.969696969696901</v>
      </c>
      <c r="R58" s="2">
        <v>1153</v>
      </c>
      <c r="S58" t="s">
        <v>172</v>
      </c>
      <c r="T58" s="14">
        <v>17.575758</v>
      </c>
      <c r="U58" s="301">
        <v>9.7050428163653668E-2</v>
      </c>
      <c r="V58" s="219">
        <v>1409</v>
      </c>
      <c r="W58" s="197" t="s">
        <v>172</v>
      </c>
      <c r="X58" s="219">
        <v>1</v>
      </c>
      <c r="Y58" s="219">
        <v>1419</v>
      </c>
      <c r="Z58" s="197" t="s">
        <v>172</v>
      </c>
      <c r="AA58" s="219">
        <v>1</v>
      </c>
      <c r="AB58" s="198">
        <v>1688</v>
      </c>
      <c r="AC58" s="197" t="s">
        <v>172</v>
      </c>
      <c r="AD58" s="197">
        <v>1.82</v>
      </c>
      <c r="AE58" s="220">
        <v>0.19800000000000001</v>
      </c>
    </row>
    <row r="59" spans="1:31" x14ac:dyDescent="0.3">
      <c r="A59" s="123"/>
      <c r="B59" s="123"/>
      <c r="C59" s="123"/>
      <c r="D59" s="123"/>
      <c r="E59" s="123"/>
      <c r="F59" s="123"/>
      <c r="G59" s="123"/>
      <c r="H59" s="123"/>
      <c r="I59" s="123"/>
      <c r="J59" s="123"/>
      <c r="K59" s="123"/>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2091</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8" t="s">
        <v>1706</v>
      </c>
      <c r="C61" s="309"/>
      <c r="D61" s="304" t="s">
        <v>1707</v>
      </c>
      <c r="E61" s="310" t="s">
        <v>1706</v>
      </c>
      <c r="F61" s="309"/>
      <c r="G61" s="304" t="s">
        <v>1707</v>
      </c>
      <c r="H61" s="310" t="s">
        <v>1706</v>
      </c>
      <c r="I61" s="309"/>
      <c r="J61" s="304" t="s">
        <v>1707</v>
      </c>
      <c r="K61" t="s">
        <v>172</v>
      </c>
      <c r="L61" s="304" t="s">
        <v>1706</v>
      </c>
      <c r="M61" s="304"/>
      <c r="N61" s="304" t="s">
        <v>1707</v>
      </c>
      <c r="O61" s="304" t="s">
        <v>1706</v>
      </c>
      <c r="P61" s="304"/>
      <c r="Q61" s="304" t="s">
        <v>1707</v>
      </c>
      <c r="R61" s="304" t="s">
        <v>1706</v>
      </c>
      <c r="S61" s="304"/>
      <c r="T61" s="304" t="s">
        <v>1707</v>
      </c>
      <c r="U61" t="s">
        <v>172</v>
      </c>
      <c r="V61" s="221" t="s">
        <v>1706</v>
      </c>
      <c r="W61" s="222"/>
      <c r="X61" s="222" t="s">
        <v>1707</v>
      </c>
      <c r="Y61" s="221" t="s">
        <v>1706</v>
      </c>
      <c r="Z61" s="222"/>
      <c r="AA61" s="222" t="s">
        <v>1707</v>
      </c>
      <c r="AB61" s="221" t="s">
        <v>1706</v>
      </c>
      <c r="AC61" s="222"/>
      <c r="AD61" s="222" t="s">
        <v>1707</v>
      </c>
      <c r="AE61" s="197" t="s">
        <v>172</v>
      </c>
    </row>
    <row r="62" spans="1:31" x14ac:dyDescent="0.3">
      <c r="A62" t="s">
        <v>174</v>
      </c>
      <c r="B62" s="2">
        <v>21267</v>
      </c>
      <c r="C62" t="s">
        <v>172</v>
      </c>
      <c r="D62" s="14">
        <v>538.78787878787796</v>
      </c>
      <c r="E62" s="2">
        <v>24129</v>
      </c>
      <c r="F62" t="s">
        <v>172</v>
      </c>
      <c r="G62" s="14">
        <v>531.51515151515105</v>
      </c>
      <c r="H62" s="2">
        <v>25692</v>
      </c>
      <c r="I62" t="s">
        <v>172</v>
      </c>
      <c r="J62" s="14">
        <v>673.93939999999998</v>
      </c>
      <c r="K62" s="301">
        <v>0.20806883904640994</v>
      </c>
      <c r="L62" s="2">
        <v>52484</v>
      </c>
      <c r="M62" t="s">
        <v>172</v>
      </c>
      <c r="N62" s="14">
        <v>803.63636363636294</v>
      </c>
      <c r="O62" s="2">
        <v>53032</v>
      </c>
      <c r="P62" t="s">
        <v>172</v>
      </c>
      <c r="Q62" s="14">
        <v>856.969696969697</v>
      </c>
      <c r="R62" s="2">
        <v>58917</v>
      </c>
      <c r="S62" t="s">
        <v>172</v>
      </c>
      <c r="T62" s="14">
        <v>805.45450000000005</v>
      </c>
      <c r="U62" s="301">
        <v>0.12257068820974011</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2092</v>
      </c>
      <c r="B63" s="2">
        <v>4878</v>
      </c>
      <c r="C63" s="301">
        <v>0.2293694456199746</v>
      </c>
      <c r="D63" s="14">
        <v>556.36363636363603</v>
      </c>
      <c r="E63" s="2">
        <v>6958</v>
      </c>
      <c r="F63" s="301">
        <v>0.28836669567740064</v>
      </c>
      <c r="G63" s="14">
        <v>416.36363636363598</v>
      </c>
      <c r="H63" s="2">
        <v>5565</v>
      </c>
      <c r="I63" s="301">
        <v>0.21660439047174218</v>
      </c>
      <c r="J63" s="14">
        <v>523.03030000000001</v>
      </c>
      <c r="K63" s="301">
        <v>0.14083640836408365</v>
      </c>
      <c r="L63" s="2">
        <v>8582</v>
      </c>
      <c r="M63" s="301">
        <v>0.16351650026674797</v>
      </c>
      <c r="N63" s="14">
        <v>586.66666666666595</v>
      </c>
      <c r="O63" s="2">
        <v>10545</v>
      </c>
      <c r="P63" s="301">
        <v>0.19884220847790013</v>
      </c>
      <c r="Q63" s="14">
        <v>473.93939393939399</v>
      </c>
      <c r="R63" s="2">
        <v>8757</v>
      </c>
      <c r="S63" s="301">
        <v>0.14863282244513468</v>
      </c>
      <c r="T63" s="14">
        <v>603.03030000000001</v>
      </c>
      <c r="U63" s="301">
        <v>2.0391517128874388E-2</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2093</v>
      </c>
      <c r="B64" s="2">
        <v>1071</v>
      </c>
      <c r="C64" s="301">
        <v>5.0359712230215826E-2</v>
      </c>
      <c r="D64" s="14">
        <v>135.15151515151501</v>
      </c>
      <c r="E64" s="2">
        <v>1022</v>
      </c>
      <c r="F64" s="301">
        <v>4.2355671598491441E-2</v>
      </c>
      <c r="G64" s="14">
        <v>168.48484848484799</v>
      </c>
      <c r="H64" s="2">
        <v>1871</v>
      </c>
      <c r="I64" s="301">
        <v>7.2824225439825627E-2</v>
      </c>
      <c r="J64" s="14">
        <v>235.75756799999999</v>
      </c>
      <c r="K64" s="301">
        <v>0.7469654528478058</v>
      </c>
      <c r="L64" s="2">
        <v>3818</v>
      </c>
      <c r="M64" s="301">
        <v>7.2745979727154936E-2</v>
      </c>
      <c r="N64" s="14">
        <v>262.42424242424198</v>
      </c>
      <c r="O64" s="2">
        <v>2917</v>
      </c>
      <c r="P64" s="301">
        <v>5.5004525569467493E-2</v>
      </c>
      <c r="Q64" s="14">
        <v>272.72727272727201</v>
      </c>
      <c r="R64" s="2">
        <v>5161</v>
      </c>
      <c r="S64" s="301">
        <v>8.7597807084542664E-2</v>
      </c>
      <c r="T64" s="14">
        <v>366.66665599999999</v>
      </c>
      <c r="U64" s="301">
        <v>0.35175484546883184</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2094</v>
      </c>
      <c r="B65" s="2">
        <v>2120</v>
      </c>
      <c r="C65" s="301">
        <v>9.9684957916020125E-2</v>
      </c>
      <c r="D65" s="14">
        <v>255.15151515151501</v>
      </c>
      <c r="E65" s="2">
        <v>2310</v>
      </c>
      <c r="F65" s="301">
        <v>9.5735422106179288E-2</v>
      </c>
      <c r="G65" s="14">
        <v>248.48484848484799</v>
      </c>
      <c r="H65" s="2">
        <v>2209</v>
      </c>
      <c r="I65" s="301">
        <v>8.5980071617624165E-2</v>
      </c>
      <c r="J65" s="14">
        <v>278.18182400000001</v>
      </c>
      <c r="K65" s="301">
        <v>4.1981132075471696E-2</v>
      </c>
      <c r="L65" s="2">
        <v>4560</v>
      </c>
      <c r="M65" s="301">
        <v>8.68836216751772E-2</v>
      </c>
      <c r="N65" s="14">
        <v>346.06060606060601</v>
      </c>
      <c r="O65" s="2">
        <v>4580</v>
      </c>
      <c r="P65" s="301">
        <v>8.6362950671292807E-2</v>
      </c>
      <c r="Q65" s="14">
        <v>341.21212121212102</v>
      </c>
      <c r="R65" s="2">
        <v>4943</v>
      </c>
      <c r="S65" s="301">
        <v>8.3897686576030681E-2</v>
      </c>
      <c r="T65" s="14">
        <v>369.09089999999998</v>
      </c>
      <c r="U65" s="301">
        <v>8.3991228070175436E-2</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2095</v>
      </c>
      <c r="B66" s="2">
        <v>458</v>
      </c>
      <c r="C66" s="301">
        <v>2.1535712606385479E-2</v>
      </c>
      <c r="D66" s="14">
        <v>92.121212121212096</v>
      </c>
      <c r="E66" s="2">
        <v>426</v>
      </c>
      <c r="F66" s="301">
        <v>1.7655103816983712E-2</v>
      </c>
      <c r="G66" s="14">
        <v>93.3333333333333</v>
      </c>
      <c r="H66" s="2">
        <v>692</v>
      </c>
      <c r="I66" s="301">
        <v>2.6934454304841975E-2</v>
      </c>
      <c r="J66" s="14">
        <v>172.72728000000001</v>
      </c>
      <c r="K66" s="301">
        <v>0.51091703056768556</v>
      </c>
      <c r="L66" s="2">
        <v>1398</v>
      </c>
      <c r="M66" s="301">
        <v>2.6636689276731955E-2</v>
      </c>
      <c r="N66" s="14">
        <v>158.78787878787799</v>
      </c>
      <c r="O66" s="2">
        <v>1268</v>
      </c>
      <c r="P66" s="301">
        <v>2.3910092019912507E-2</v>
      </c>
      <c r="Q66" s="14">
        <v>167.87878787878699</v>
      </c>
      <c r="R66" s="2">
        <v>1189</v>
      </c>
      <c r="S66" s="301">
        <v>2.0180932498260265E-2</v>
      </c>
      <c r="T66" s="14">
        <v>194.545456</v>
      </c>
      <c r="U66" s="301">
        <v>-0.14949928469241774</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2096</v>
      </c>
      <c r="B67" s="2">
        <v>2260</v>
      </c>
      <c r="C67" s="301">
        <v>0.10626792683500258</v>
      </c>
      <c r="D67" s="14">
        <v>251.51515151515099</v>
      </c>
      <c r="E67" s="2">
        <v>2685</v>
      </c>
      <c r="F67" s="301">
        <v>0.1112768867338058</v>
      </c>
      <c r="G67" s="14">
        <v>283.636363636363</v>
      </c>
      <c r="H67" s="2">
        <v>2480</v>
      </c>
      <c r="I67" s="301">
        <v>9.6528102132959676E-2</v>
      </c>
      <c r="J67" s="14">
        <v>258.18182400000001</v>
      </c>
      <c r="K67" s="301">
        <v>9.7345132743362831E-2</v>
      </c>
      <c r="L67" s="2">
        <v>5937</v>
      </c>
      <c r="M67" s="301">
        <v>0.113120189009984</v>
      </c>
      <c r="N67" s="14">
        <v>409.69696969696901</v>
      </c>
      <c r="O67" s="2">
        <v>5160</v>
      </c>
      <c r="P67" s="301">
        <v>9.7299743551063508E-2</v>
      </c>
      <c r="Q67" s="14">
        <v>373.93939393939303</v>
      </c>
      <c r="R67" s="2">
        <v>5790</v>
      </c>
      <c r="S67" s="301">
        <v>9.8273842863689592E-2</v>
      </c>
      <c r="T67" s="14">
        <v>398.78787199999999</v>
      </c>
      <c r="U67" s="301">
        <v>-2.4759979787771603E-2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2097</v>
      </c>
      <c r="B68" s="2">
        <v>1058</v>
      </c>
      <c r="C68" s="301">
        <v>4.9748436544881744E-2</v>
      </c>
      <c r="D68" s="14">
        <v>176.363636363636</v>
      </c>
      <c r="E68" s="2">
        <v>987</v>
      </c>
      <c r="F68" s="301">
        <v>4.0905134899912966E-2</v>
      </c>
      <c r="G68" s="14">
        <v>138.18181818181799</v>
      </c>
      <c r="H68" s="2">
        <v>1180</v>
      </c>
      <c r="I68" s="301">
        <v>4.592869375681146E-2</v>
      </c>
      <c r="J68" s="14">
        <v>211.515152</v>
      </c>
      <c r="K68" s="301">
        <v>0.11531190926275993</v>
      </c>
      <c r="L68" s="2">
        <v>2533</v>
      </c>
      <c r="M68" s="301">
        <v>4.8262327566496455E-2</v>
      </c>
      <c r="N68" s="14">
        <v>224.84848484848399</v>
      </c>
      <c r="O68" s="2">
        <v>2495</v>
      </c>
      <c r="P68" s="301">
        <v>4.7047065922461911E-2</v>
      </c>
      <c r="Q68" s="14">
        <v>218.18181818181799</v>
      </c>
      <c r="R68" s="2">
        <v>2718</v>
      </c>
      <c r="S68" s="301">
        <v>4.6132695147410765E-2</v>
      </c>
      <c r="T68" s="14">
        <v>258.18182400000001</v>
      </c>
      <c r="U68" s="301">
        <v>7.3035925779707855E-2</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2098</v>
      </c>
      <c r="B69" s="2">
        <v>182</v>
      </c>
      <c r="C69" s="301">
        <v>8.5578595946771991E-3</v>
      </c>
      <c r="D69" s="14">
        <v>64.848484848484802</v>
      </c>
      <c r="E69" s="2">
        <v>221</v>
      </c>
      <c r="F69" s="301">
        <v>9.159103153881222E-3</v>
      </c>
      <c r="G69" s="14">
        <v>70.909090909090907</v>
      </c>
      <c r="H69" s="2">
        <v>131</v>
      </c>
      <c r="I69" s="301">
        <v>5.0988634594426284E-3</v>
      </c>
      <c r="J69" s="14">
        <v>58.181820000000002</v>
      </c>
      <c r="K69" s="301">
        <v>-0.28021978021978022</v>
      </c>
      <c r="L69" s="2">
        <v>989</v>
      </c>
      <c r="M69" s="301">
        <v>1.8843838122094354E-2</v>
      </c>
      <c r="N69" s="14">
        <v>132.12121212121201</v>
      </c>
      <c r="O69" s="2">
        <v>770</v>
      </c>
      <c r="P69" s="301">
        <v>1.4519535374868005E-2</v>
      </c>
      <c r="Q69" s="14">
        <v>116.363636363636</v>
      </c>
      <c r="R69" s="2">
        <v>670</v>
      </c>
      <c r="S69" s="301">
        <v>1.1371930003224876E-2</v>
      </c>
      <c r="T69" s="14">
        <v>132.121216</v>
      </c>
      <c r="U69" s="301">
        <v>-0.32254802831142571</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2099</v>
      </c>
      <c r="B70" s="2">
        <v>660</v>
      </c>
      <c r="C70" s="301">
        <v>3.1033996332345888E-2</v>
      </c>
      <c r="D70" s="14">
        <v>118.787878787878</v>
      </c>
      <c r="E70" s="2">
        <v>424</v>
      </c>
      <c r="F70" s="301">
        <v>1.7572216005636371E-2</v>
      </c>
      <c r="G70" s="14">
        <v>110.30303030303</v>
      </c>
      <c r="H70" s="2">
        <v>1384</v>
      </c>
      <c r="I70" s="301">
        <v>5.3868908609683949E-2</v>
      </c>
      <c r="J70" s="14">
        <v>305.45455900000002</v>
      </c>
      <c r="K70" s="301">
        <v>1.0969696969696969</v>
      </c>
      <c r="L70" s="2">
        <v>2292</v>
      </c>
      <c r="M70" s="301">
        <v>4.3670451947260117E-2</v>
      </c>
      <c r="N70" s="14">
        <v>196.363636363636</v>
      </c>
      <c r="O70" s="2">
        <v>1592</v>
      </c>
      <c r="P70" s="301">
        <v>3.0019610801025796E-2</v>
      </c>
      <c r="Q70" s="14">
        <v>217.575757575757</v>
      </c>
      <c r="R70" s="2">
        <v>3018</v>
      </c>
      <c r="S70" s="301">
        <v>5.1224604104078621E-2</v>
      </c>
      <c r="T70" s="14">
        <v>383.03030000000001</v>
      </c>
      <c r="U70" s="301">
        <v>0.31675392670157065</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2100</v>
      </c>
      <c r="B71" s="2">
        <v>980</v>
      </c>
      <c r="C71" s="301">
        <v>4.6080782432877228E-2</v>
      </c>
      <c r="D71" s="14">
        <v>188.48484848484799</v>
      </c>
      <c r="E71" s="2">
        <v>1191</v>
      </c>
      <c r="F71" s="301">
        <v>4.9359691657341789E-2</v>
      </c>
      <c r="G71" s="14">
        <v>163.636363636363</v>
      </c>
      <c r="H71" s="2">
        <v>1861</v>
      </c>
      <c r="I71" s="301">
        <v>7.2434999221547558E-2</v>
      </c>
      <c r="J71" s="14">
        <v>255.75756799999999</v>
      </c>
      <c r="K71" s="301">
        <v>0.8989795918367347</v>
      </c>
      <c r="L71" s="2">
        <v>3119</v>
      </c>
      <c r="M71" s="301">
        <v>5.9427635088788962E-2</v>
      </c>
      <c r="N71" s="14">
        <v>306.06060606060601</v>
      </c>
      <c r="O71" s="2">
        <v>3605</v>
      </c>
      <c r="P71" s="301">
        <v>6.7977824709609294E-2</v>
      </c>
      <c r="Q71" s="14">
        <v>258.18181818181802</v>
      </c>
      <c r="R71" s="2">
        <v>4320</v>
      </c>
      <c r="S71" s="301">
        <v>7.3323488976017107E-2</v>
      </c>
      <c r="T71" s="14">
        <v>360.60604899999998</v>
      </c>
      <c r="U71" s="301">
        <v>0.38505931388265469</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2101</v>
      </c>
      <c r="B72" s="2">
        <v>3978</v>
      </c>
      <c r="C72" s="301">
        <v>0.18705035971223022</v>
      </c>
      <c r="D72" s="14">
        <v>276.969696969697</v>
      </c>
      <c r="E72" s="2">
        <v>4272</v>
      </c>
      <c r="F72" s="301">
        <v>0.17704836503792118</v>
      </c>
      <c r="G72" s="14">
        <v>323.030303030303</v>
      </c>
      <c r="H72" s="2">
        <v>4958</v>
      </c>
      <c r="I72" s="301">
        <v>0.19297835902226373</v>
      </c>
      <c r="J72" s="14">
        <v>443.03030000000001</v>
      </c>
      <c r="K72" s="301">
        <v>0.24635495223730519</v>
      </c>
      <c r="L72" s="2">
        <v>9821</v>
      </c>
      <c r="M72" s="301">
        <v>0.18712369484033228</v>
      </c>
      <c r="N72" s="14">
        <v>428.48484848484799</v>
      </c>
      <c r="O72" s="2">
        <v>10250</v>
      </c>
      <c r="P72" s="301">
        <v>0.19327952934077539</v>
      </c>
      <c r="Q72" s="14">
        <v>494.54545454545399</v>
      </c>
      <c r="R72" s="2">
        <v>12686</v>
      </c>
      <c r="S72" s="301">
        <v>0.21531985674762802</v>
      </c>
      <c r="T72" s="14">
        <v>649.09090000000003</v>
      </c>
      <c r="U72" s="301">
        <v>0.2917218205885348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2102</v>
      </c>
      <c r="B73" s="2">
        <v>1334</v>
      </c>
      <c r="C73" s="301">
        <v>6.2726289556590029E-2</v>
      </c>
      <c r="D73" s="14">
        <v>152.72727272727201</v>
      </c>
      <c r="E73" s="2">
        <v>1618</v>
      </c>
      <c r="F73" s="301">
        <v>6.7056239379999175E-2</v>
      </c>
      <c r="G73" s="14">
        <v>246.06060606060601</v>
      </c>
      <c r="H73" s="2">
        <v>1667</v>
      </c>
      <c r="I73" s="301">
        <v>6.4884010586953131E-2</v>
      </c>
      <c r="J73" s="14">
        <v>256.96969999999999</v>
      </c>
      <c r="K73" s="301">
        <v>0.24962518740629686</v>
      </c>
      <c r="L73" s="2">
        <v>4050</v>
      </c>
      <c r="M73" s="301">
        <v>7.7166374514137645E-2</v>
      </c>
      <c r="N73" s="14">
        <v>307.87878787878702</v>
      </c>
      <c r="O73" s="2">
        <v>4328</v>
      </c>
      <c r="P73" s="301">
        <v>8.1611102730426918E-2</v>
      </c>
      <c r="Q73" s="14">
        <v>349.69696969696901</v>
      </c>
      <c r="R73" s="2">
        <v>4703</v>
      </c>
      <c r="S73" s="301">
        <v>7.9824159410696399E-2</v>
      </c>
      <c r="T73" s="14">
        <v>353.33334400000001</v>
      </c>
      <c r="U73" s="301">
        <v>0.16123456790123455</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2103</v>
      </c>
      <c r="B74" s="2">
        <v>1145</v>
      </c>
      <c r="C74" s="301">
        <v>5.3839281515963698E-2</v>
      </c>
      <c r="D74" s="14">
        <v>180.60606060606</v>
      </c>
      <c r="E74" s="2">
        <v>804</v>
      </c>
      <c r="F74" s="301">
        <v>3.332090016163123E-2</v>
      </c>
      <c r="G74" s="14">
        <v>132.12121212121201</v>
      </c>
      <c r="H74" s="2">
        <v>782</v>
      </c>
      <c r="I74" s="301">
        <v>3.0437490269344544E-2</v>
      </c>
      <c r="J74" s="14">
        <v>147.27271999999999</v>
      </c>
      <c r="K74" s="301">
        <v>-0.31703056768558951</v>
      </c>
      <c r="L74" s="2">
        <v>2408</v>
      </c>
      <c r="M74" s="301">
        <v>4.5880649340751464E-2</v>
      </c>
      <c r="N74" s="14">
        <v>230.30303030303</v>
      </c>
      <c r="O74" s="2">
        <v>2323</v>
      </c>
      <c r="P74" s="301">
        <v>4.3803741137426459E-2</v>
      </c>
      <c r="Q74" s="14">
        <v>215.15151515151501</v>
      </c>
      <c r="R74" s="2">
        <v>2166</v>
      </c>
      <c r="S74" s="301">
        <v>3.6763582667141914E-2</v>
      </c>
      <c r="T74" s="14">
        <v>188.484848</v>
      </c>
      <c r="U74" s="301">
        <v>-0.1004983388704319</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2104</v>
      </c>
      <c r="B75" s="2">
        <v>1143</v>
      </c>
      <c r="C75" s="301">
        <v>5.3745239102835379E-2</v>
      </c>
      <c r="D75" s="14">
        <v>169.09090909090901</v>
      </c>
      <c r="E75" s="2">
        <v>1211</v>
      </c>
      <c r="F75" s="301">
        <v>5.0188569770815199E-2</v>
      </c>
      <c r="G75" s="14">
        <v>149.09090909090901</v>
      </c>
      <c r="H75" s="2">
        <v>912</v>
      </c>
      <c r="I75" s="301">
        <v>3.5497431106959368E-2</v>
      </c>
      <c r="J75" s="14">
        <v>164.24243200000001</v>
      </c>
      <c r="K75" s="301">
        <v>-0.20209973753280841</v>
      </c>
      <c r="L75" s="2">
        <v>2977</v>
      </c>
      <c r="M75" s="301">
        <v>5.6722048624342658E-2</v>
      </c>
      <c r="N75" s="14">
        <v>253.93939393939399</v>
      </c>
      <c r="O75" s="2">
        <v>3199</v>
      </c>
      <c r="P75" s="301">
        <v>6.0322069693769798E-2</v>
      </c>
      <c r="Q75" s="14">
        <v>285.45454545454498</v>
      </c>
      <c r="R75" s="2">
        <v>2796</v>
      </c>
      <c r="S75" s="301">
        <v>4.7456591476144408E-2</v>
      </c>
      <c r="T75" s="14">
        <v>286.66665599999999</v>
      </c>
      <c r="U75" s="301">
        <v>-6.0799462546187434E-2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2105</v>
      </c>
      <c r="B76" s="2">
        <v>3981</v>
      </c>
      <c r="C76" s="301">
        <v>0.18719142333192271</v>
      </c>
      <c r="D76" s="14">
        <v>257.575757575757</v>
      </c>
      <c r="E76" s="2">
        <v>4783</v>
      </c>
      <c r="F76" s="301">
        <v>0.19822620083716688</v>
      </c>
      <c r="G76" s="14">
        <v>341.21212121212102</v>
      </c>
      <c r="H76" s="2">
        <v>5179</v>
      </c>
      <c r="I76" s="301">
        <v>0.20158025844620894</v>
      </c>
      <c r="J76" s="14">
        <v>316.36364700000001</v>
      </c>
      <c r="K76" s="301">
        <v>0.30092941471991963</v>
      </c>
      <c r="L76" s="2">
        <v>12432</v>
      </c>
      <c r="M76" s="301">
        <v>0.23687218961969361</v>
      </c>
      <c r="N76" s="14">
        <v>524.84848484848396</v>
      </c>
      <c r="O76" s="2">
        <v>13435</v>
      </c>
      <c r="P76" s="301">
        <v>0.25333760748227485</v>
      </c>
      <c r="Q76" s="14">
        <v>517.57575757575705</v>
      </c>
      <c r="R76" s="2">
        <v>15203</v>
      </c>
      <c r="S76" s="301">
        <v>0.2580409728940713</v>
      </c>
      <c r="T76" s="14">
        <v>586.66669999999999</v>
      </c>
      <c r="U76" s="301">
        <v>0.2228925353925354</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2092</v>
      </c>
      <c r="B77" s="2">
        <v>107</v>
      </c>
      <c r="C77" s="301">
        <v>5.0312691023651664E-3</v>
      </c>
      <c r="D77" s="14">
        <v>44.2424242424242</v>
      </c>
      <c r="E77" s="2">
        <v>889</v>
      </c>
      <c r="F77" s="301">
        <v>3.6843632143893239E-2</v>
      </c>
      <c r="G77" s="14">
        <v>200</v>
      </c>
      <c r="H77" s="2">
        <v>180</v>
      </c>
      <c r="I77" s="301">
        <v>7.0060719290051376E-3</v>
      </c>
      <c r="J77" s="14">
        <v>75.757576</v>
      </c>
      <c r="K77" s="301">
        <v>0.68224299065420557</v>
      </c>
      <c r="L77" s="2">
        <v>891</v>
      </c>
      <c r="M77" s="301">
        <v>1.6976602393110281E-2</v>
      </c>
      <c r="N77" s="14">
        <v>130.30303030303</v>
      </c>
      <c r="O77" s="2">
        <v>1958</v>
      </c>
      <c r="P77" s="301">
        <v>3.6921104238950071E-2</v>
      </c>
      <c r="Q77" s="14">
        <v>279.39393939393898</v>
      </c>
      <c r="R77" s="2">
        <v>774</v>
      </c>
      <c r="S77" s="301">
        <v>1.3137125108203066E-2</v>
      </c>
      <c r="T77" s="14">
        <v>140</v>
      </c>
      <c r="U77" s="301">
        <v>-0.13131313131313133</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2093</v>
      </c>
      <c r="B78" s="2">
        <v>78</v>
      </c>
      <c r="C78" s="301">
        <v>3.667654112004514E-3</v>
      </c>
      <c r="D78" s="14">
        <v>29.696969696969699</v>
      </c>
      <c r="E78" s="2">
        <v>114</v>
      </c>
      <c r="F78" s="301">
        <v>4.7246052467984582E-3</v>
      </c>
      <c r="G78" s="14">
        <v>44.2424242424242</v>
      </c>
      <c r="H78" s="2">
        <v>269</v>
      </c>
      <c r="I78" s="301">
        <v>1.0470185271679901E-2</v>
      </c>
      <c r="J78" s="14">
        <v>93.333335899999994</v>
      </c>
      <c r="K78" s="301">
        <v>2.4487179487179489</v>
      </c>
      <c r="L78" s="2">
        <v>787</v>
      </c>
      <c r="M78" s="301">
        <v>1.499504610929045E-2</v>
      </c>
      <c r="N78" s="14">
        <v>129.09090909090901</v>
      </c>
      <c r="O78" s="2">
        <v>493</v>
      </c>
      <c r="P78" s="301">
        <v>9.296273947805099E-3</v>
      </c>
      <c r="Q78" s="14">
        <v>98.787878787878796</v>
      </c>
      <c r="R78" s="2">
        <v>855</v>
      </c>
      <c r="S78" s="301">
        <v>1.4511940526503387E-2</v>
      </c>
      <c r="T78" s="14">
        <v>187.27271999999999</v>
      </c>
      <c r="U78" s="301">
        <v>8.6404066073697591E-2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2094</v>
      </c>
      <c r="B79" s="2">
        <v>314</v>
      </c>
      <c r="C79" s="301">
        <v>1.4764658861146376E-2</v>
      </c>
      <c r="D79" s="14">
        <v>92.121212121212096</v>
      </c>
      <c r="E79" s="2">
        <v>235</v>
      </c>
      <c r="F79" s="301">
        <v>9.7393178333126107E-3</v>
      </c>
      <c r="G79" s="14">
        <v>64.848484848484802</v>
      </c>
      <c r="H79" s="2">
        <v>196</v>
      </c>
      <c r="I79" s="301">
        <v>7.6288338782500393E-3</v>
      </c>
      <c r="J79" s="14">
        <v>82.424239999999998</v>
      </c>
      <c r="K79" s="301">
        <v>-0.37579617834394907</v>
      </c>
      <c r="L79" s="2">
        <v>698</v>
      </c>
      <c r="M79" s="301">
        <v>1.3299291212560018E-2</v>
      </c>
      <c r="N79" s="14">
        <v>118.181818181818</v>
      </c>
      <c r="O79" s="2">
        <v>754</v>
      </c>
      <c r="P79" s="301">
        <v>1.4217830743701915E-2</v>
      </c>
      <c r="Q79" s="14">
        <v>107.87878787878699</v>
      </c>
      <c r="R79" s="2">
        <v>773</v>
      </c>
      <c r="S79" s="301">
        <v>1.3120152078347505E-2</v>
      </c>
      <c r="T79" s="14">
        <v>168.484848</v>
      </c>
      <c r="U79" s="301">
        <v>0.10744985673352435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2095</v>
      </c>
      <c r="B80" s="2">
        <v>25</v>
      </c>
      <c r="C80" s="301">
        <v>1.1755301641040109E-3</v>
      </c>
      <c r="D80" s="14">
        <v>16.363636363636299</v>
      </c>
      <c r="E80" s="2">
        <v>67</v>
      </c>
      <c r="F80" s="301">
        <v>2.776741680135936E-3</v>
      </c>
      <c r="G80" s="14">
        <v>33.3333333333333</v>
      </c>
      <c r="H80" s="2">
        <v>0</v>
      </c>
      <c r="I80" s="301">
        <v>0</v>
      </c>
      <c r="J80" s="14">
        <v>18.787877999999999</v>
      </c>
      <c r="K80" s="301">
        <v>-1</v>
      </c>
      <c r="L80" s="2">
        <v>111</v>
      </c>
      <c r="M80" s="301">
        <v>2.11493026446155E-3</v>
      </c>
      <c r="N80" s="14">
        <v>44.848484848484802</v>
      </c>
      <c r="O80" s="2">
        <v>128</v>
      </c>
      <c r="P80" s="301">
        <v>2.4136370493287071E-3</v>
      </c>
      <c r="Q80" s="14">
        <v>42.424242424242401</v>
      </c>
      <c r="R80" s="2">
        <v>145</v>
      </c>
      <c r="S80" s="301">
        <v>2.4610893290561296E-3</v>
      </c>
      <c r="T80" s="14">
        <v>52.727271999999999</v>
      </c>
      <c r="U80" s="301">
        <v>0.30630630630630629</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2096</v>
      </c>
      <c r="B81" s="2">
        <v>140</v>
      </c>
      <c r="C81" s="301">
        <v>6.5829689189824611E-3</v>
      </c>
      <c r="D81" s="14">
        <v>50.303030303030297</v>
      </c>
      <c r="E81" s="2">
        <v>119</v>
      </c>
      <c r="F81" s="301">
        <v>4.9318247751668114E-3</v>
      </c>
      <c r="G81" s="14">
        <v>47.272727272727202</v>
      </c>
      <c r="H81" s="2">
        <v>82</v>
      </c>
      <c r="I81" s="301">
        <v>3.1916549898801183E-3</v>
      </c>
      <c r="J81" s="14">
        <v>46.060607900000001</v>
      </c>
      <c r="K81" s="301">
        <v>-0.41428571428571431</v>
      </c>
      <c r="L81" s="2">
        <v>379</v>
      </c>
      <c r="M81" s="301">
        <v>7.2212483804588064E-3</v>
      </c>
      <c r="N81" s="14">
        <v>80</v>
      </c>
      <c r="O81" s="2">
        <v>272</v>
      </c>
      <c r="P81" s="301">
        <v>5.128978729823503E-3</v>
      </c>
      <c r="Q81" s="14">
        <v>63.636363636363598</v>
      </c>
      <c r="R81" s="2">
        <v>254</v>
      </c>
      <c r="S81" s="301">
        <v>4.3111495833121167E-3</v>
      </c>
      <c r="T81" s="14">
        <v>58.181820000000002</v>
      </c>
      <c r="U81" s="301">
        <v>-0.32981530343007914</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2097</v>
      </c>
      <c r="B82" s="2">
        <v>55</v>
      </c>
      <c r="C82" s="301">
        <v>2.586166361028824E-3</v>
      </c>
      <c r="D82" s="14">
        <v>37.5757575757575</v>
      </c>
      <c r="E82" s="2">
        <v>53</v>
      </c>
      <c r="F82" s="301">
        <v>2.1965270007045464E-3</v>
      </c>
      <c r="G82" s="14">
        <v>38.787878787878697</v>
      </c>
      <c r="H82" s="2">
        <v>53</v>
      </c>
      <c r="I82" s="301">
        <v>2.0628989568737348E-3</v>
      </c>
      <c r="J82" s="14">
        <v>35.757576</v>
      </c>
      <c r="K82" s="301">
        <v>-3.6363636363636362E-2</v>
      </c>
      <c r="L82" s="2">
        <v>176</v>
      </c>
      <c r="M82" s="301">
        <v>3.3534029418489444E-3</v>
      </c>
      <c r="N82" s="14">
        <v>68.484848484848399</v>
      </c>
      <c r="O82" s="2">
        <v>126</v>
      </c>
      <c r="P82" s="301">
        <v>2.3759239704329461E-3</v>
      </c>
      <c r="Q82" s="14">
        <v>50.303030303030297</v>
      </c>
      <c r="R82" s="2">
        <v>193</v>
      </c>
      <c r="S82" s="301">
        <v>3.2757947621229865E-3</v>
      </c>
      <c r="T82" s="14">
        <v>63.636364</v>
      </c>
      <c r="U82" s="301">
        <v>9.6590909090909088E-2</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2098</v>
      </c>
      <c r="B83" s="2">
        <v>61</v>
      </c>
      <c r="C83" s="301">
        <v>2.8682936004137865E-3</v>
      </c>
      <c r="D83" s="14">
        <v>31.515151515151501</v>
      </c>
      <c r="E83" s="2">
        <v>71</v>
      </c>
      <c r="F83" s="301">
        <v>2.9425173028306186E-3</v>
      </c>
      <c r="G83" s="14">
        <v>45.454545454545404</v>
      </c>
      <c r="H83" s="2">
        <v>60</v>
      </c>
      <c r="I83" s="301">
        <v>2.3353573096683792E-3</v>
      </c>
      <c r="J83" s="14">
        <v>43.030304000000001</v>
      </c>
      <c r="K83" s="301">
        <v>-1.6393442622950821E-2</v>
      </c>
      <c r="L83" s="2">
        <v>250</v>
      </c>
      <c r="M83" s="301">
        <v>4.7633564514899781E-3</v>
      </c>
      <c r="N83" s="14">
        <v>65.454545454545396</v>
      </c>
      <c r="O83" s="2">
        <v>274</v>
      </c>
      <c r="P83" s="301">
        <v>5.1666918087192636E-3</v>
      </c>
      <c r="Q83" s="14">
        <v>72.121212121212096</v>
      </c>
      <c r="R83" s="2">
        <v>324</v>
      </c>
      <c r="S83" s="301">
        <v>5.499261673201283E-3</v>
      </c>
      <c r="T83" s="14">
        <v>87.272729999999996</v>
      </c>
      <c r="U83" s="301">
        <v>0.29599999999999999</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2099</v>
      </c>
      <c r="B84" s="2">
        <v>264</v>
      </c>
      <c r="C84" s="301">
        <v>1.2413598532938355E-2</v>
      </c>
      <c r="D84" s="14">
        <v>78.787878787878796</v>
      </c>
      <c r="E84" s="2">
        <v>96</v>
      </c>
      <c r="F84" s="301">
        <v>3.9786149446723856E-3</v>
      </c>
      <c r="G84" s="14">
        <v>33.939393939393902</v>
      </c>
      <c r="H84" s="2">
        <v>431</v>
      </c>
      <c r="I84" s="301">
        <v>1.6775650007784526E-2</v>
      </c>
      <c r="J84" s="14">
        <v>120</v>
      </c>
      <c r="K84" s="301">
        <v>0.63257575757575757</v>
      </c>
      <c r="L84" s="2">
        <v>761</v>
      </c>
      <c r="M84" s="301">
        <v>1.4499657038335492E-2</v>
      </c>
      <c r="N84" s="14">
        <v>119.39393939393899</v>
      </c>
      <c r="O84" s="2">
        <v>504</v>
      </c>
      <c r="P84" s="301">
        <v>9.5036958817317843E-3</v>
      </c>
      <c r="Q84" s="14">
        <v>90.303030303030297</v>
      </c>
      <c r="R84" s="2">
        <v>1245</v>
      </c>
      <c r="S84" s="301">
        <v>2.1131422170171596E-2</v>
      </c>
      <c r="T84" s="14">
        <v>198.18182400000001</v>
      </c>
      <c r="U84" s="301">
        <v>0.63600525624178716</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2100</v>
      </c>
      <c r="B85" s="2">
        <v>198</v>
      </c>
      <c r="C85" s="301">
        <v>9.3101988997037668E-3</v>
      </c>
      <c r="D85" s="14">
        <v>76.969696969696898</v>
      </c>
      <c r="E85" s="2">
        <v>281</v>
      </c>
      <c r="F85" s="301">
        <v>1.1645737494301462E-2</v>
      </c>
      <c r="G85" s="14">
        <v>70.909090909090907</v>
      </c>
      <c r="H85" s="2">
        <v>512</v>
      </c>
      <c r="I85" s="301">
        <v>1.9928382375836835E-2</v>
      </c>
      <c r="J85" s="14">
        <v>133.33332799999999</v>
      </c>
      <c r="K85" s="301">
        <v>1.5858585858585859</v>
      </c>
      <c r="L85" s="2">
        <v>1213</v>
      </c>
      <c r="M85" s="301">
        <v>2.3111805502629371E-2</v>
      </c>
      <c r="N85" s="14">
        <v>180.60606060606</v>
      </c>
      <c r="O85" s="2">
        <v>1060</v>
      </c>
      <c r="P85" s="301">
        <v>1.9987931814753356E-2</v>
      </c>
      <c r="Q85" s="14">
        <v>128.48484848484799</v>
      </c>
      <c r="R85" s="2">
        <v>1413</v>
      </c>
      <c r="S85" s="301">
        <v>2.3982891185905596E-2</v>
      </c>
      <c r="T85" s="14">
        <v>186.66667200000001</v>
      </c>
      <c r="U85" s="301">
        <v>0.16488046166529266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2101</v>
      </c>
      <c r="B86" s="2">
        <v>1765</v>
      </c>
      <c r="C86" s="301">
        <v>8.2992429585743169E-2</v>
      </c>
      <c r="D86" s="14">
        <v>199.39393939393901</v>
      </c>
      <c r="E86" s="2">
        <v>2157</v>
      </c>
      <c r="F86" s="301">
        <v>8.9394504538107669E-2</v>
      </c>
      <c r="G86" s="14">
        <v>199.39393939393901</v>
      </c>
      <c r="H86" s="2">
        <v>2741</v>
      </c>
      <c r="I86" s="301">
        <v>0.10668690643001713</v>
      </c>
      <c r="J86" s="14">
        <v>310.90910000000002</v>
      </c>
      <c r="K86" s="301">
        <v>0.55297450424929173</v>
      </c>
      <c r="L86" s="2">
        <v>5063</v>
      </c>
      <c r="M86" s="301">
        <v>9.6467494855575028E-2</v>
      </c>
      <c r="N86" s="14">
        <v>321.81818181818102</v>
      </c>
      <c r="O86" s="2">
        <v>5882</v>
      </c>
      <c r="P86" s="301">
        <v>0.11091416503243325</v>
      </c>
      <c r="Q86" s="14">
        <v>341.81818181818102</v>
      </c>
      <c r="R86" s="2">
        <v>7395</v>
      </c>
      <c r="S86" s="301">
        <v>0.12551555578186263</v>
      </c>
      <c r="T86" s="14">
        <v>499.39395100000002</v>
      </c>
      <c r="U86" s="301">
        <v>0.46059648429784711</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2102</v>
      </c>
      <c r="B87" s="2">
        <v>261</v>
      </c>
      <c r="C87" s="301">
        <v>1.2272534913245875E-2</v>
      </c>
      <c r="D87" s="14">
        <v>74.545454545454504</v>
      </c>
      <c r="E87" s="2">
        <v>200</v>
      </c>
      <c r="F87" s="301">
        <v>8.2887811347341373E-3</v>
      </c>
      <c r="G87" s="14">
        <v>78.787878787878796</v>
      </c>
      <c r="H87" s="2">
        <v>156</v>
      </c>
      <c r="I87" s="301">
        <v>6.0719290051377862E-3</v>
      </c>
      <c r="J87" s="14">
        <v>74.545455899999993</v>
      </c>
      <c r="K87" s="301">
        <v>-0.40229885057471265</v>
      </c>
      <c r="L87" s="2">
        <v>589</v>
      </c>
      <c r="M87" s="301">
        <v>1.1222467799710388E-2</v>
      </c>
      <c r="N87" s="14">
        <v>115.151515151515</v>
      </c>
      <c r="O87" s="2">
        <v>744</v>
      </c>
      <c r="P87" s="301">
        <v>1.4029265349223111E-2</v>
      </c>
      <c r="Q87" s="14">
        <v>138.18181818181799</v>
      </c>
      <c r="R87" s="2">
        <v>556</v>
      </c>
      <c r="S87" s="301">
        <v>9.4370045996910908E-3</v>
      </c>
      <c r="T87" s="14">
        <v>104.848488</v>
      </c>
      <c r="U87" s="301">
        <v>-5.6027164685908321E-2</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2103</v>
      </c>
      <c r="B88" s="2">
        <v>267</v>
      </c>
      <c r="C88" s="301">
        <v>1.2554662152630836E-2</v>
      </c>
      <c r="D88" s="14">
        <v>83.030303030303003</v>
      </c>
      <c r="E88" s="2">
        <v>31</v>
      </c>
      <c r="F88" s="301">
        <v>1.2847610758837914E-3</v>
      </c>
      <c r="G88" s="14">
        <v>16.969696969696901</v>
      </c>
      <c r="H88" s="2">
        <v>46</v>
      </c>
      <c r="I88" s="301">
        <v>1.7904406040790907E-3</v>
      </c>
      <c r="J88" s="14">
        <v>27.272728000000001</v>
      </c>
      <c r="K88" s="301">
        <v>-0.82771535580524347</v>
      </c>
      <c r="L88" s="2">
        <v>570</v>
      </c>
      <c r="M88" s="301">
        <v>1.086045270939715E-2</v>
      </c>
      <c r="N88" s="14">
        <v>102.424242424242</v>
      </c>
      <c r="O88" s="2">
        <v>203</v>
      </c>
      <c r="P88" s="301">
        <v>3.8278775079197466E-3</v>
      </c>
      <c r="Q88" s="14">
        <v>53.939393939393902</v>
      </c>
      <c r="R88" s="2">
        <v>458</v>
      </c>
      <c r="S88" s="301">
        <v>7.7736476738462582E-3</v>
      </c>
      <c r="T88" s="14">
        <v>96.363640000000004</v>
      </c>
      <c r="U88" s="301">
        <v>-0.19649122807017544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2104</v>
      </c>
      <c r="B89" s="2">
        <v>446</v>
      </c>
      <c r="C89" s="301">
        <v>2.0971458127615555E-2</v>
      </c>
      <c r="D89" s="14">
        <v>88.484848484848399</v>
      </c>
      <c r="E89" s="2">
        <v>470</v>
      </c>
      <c r="F89" s="301">
        <v>1.9478635666625221E-2</v>
      </c>
      <c r="G89" s="14">
        <v>116.969696969697</v>
      </c>
      <c r="H89" s="2">
        <v>453</v>
      </c>
      <c r="I89" s="301">
        <v>1.7631947687996263E-2</v>
      </c>
      <c r="J89" s="14">
        <v>136.363632</v>
      </c>
      <c r="K89" s="301">
        <v>1.5695067264573991E-2</v>
      </c>
      <c r="L89" s="2">
        <v>944</v>
      </c>
      <c r="M89" s="301">
        <v>1.7986433960826158E-2</v>
      </c>
      <c r="N89" s="14">
        <v>127.272727272727</v>
      </c>
      <c r="O89" s="2">
        <v>1037</v>
      </c>
      <c r="P89" s="301">
        <v>1.9554231407452105E-2</v>
      </c>
      <c r="Q89" s="14">
        <v>156.969696969696</v>
      </c>
      <c r="R89" s="2">
        <v>818</v>
      </c>
      <c r="S89" s="301">
        <v>1.3883938421847684E-2</v>
      </c>
      <c r="T89" s="14">
        <v>164.24243200000001</v>
      </c>
      <c r="U89" s="301">
        <v>-0.13347457627118645</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2106</v>
      </c>
      <c r="B90" s="2">
        <v>4014</v>
      </c>
      <c r="C90" s="301">
        <v>0.18874312314854</v>
      </c>
      <c r="D90" s="14">
        <v>299.39393939393898</v>
      </c>
      <c r="E90" s="2">
        <v>3353</v>
      </c>
      <c r="F90" s="301">
        <v>0.13896141572381782</v>
      </c>
      <c r="G90" s="14">
        <v>284.84848484848402</v>
      </c>
      <c r="H90" s="2">
        <v>4649</v>
      </c>
      <c r="I90" s="301">
        <v>0.18095126887747159</v>
      </c>
      <c r="J90" s="14">
        <v>426.06060000000002</v>
      </c>
      <c r="K90" s="301">
        <v>0.15819631290483308</v>
      </c>
      <c r="L90" s="2">
        <v>9461</v>
      </c>
      <c r="M90" s="301">
        <v>0.18026446155018672</v>
      </c>
      <c r="N90" s="14">
        <v>467.27272727272702</v>
      </c>
      <c r="O90" s="2">
        <v>9031</v>
      </c>
      <c r="P90" s="301">
        <v>0.17029340775380902</v>
      </c>
      <c r="Q90" s="14">
        <v>433.93939393939399</v>
      </c>
      <c r="R90" s="2">
        <v>10817</v>
      </c>
      <c r="S90" s="301">
        <v>0.1835972639475873</v>
      </c>
      <c r="T90" s="14">
        <v>516.36364700000001</v>
      </c>
      <c r="U90" s="301">
        <v>0.14332522989113203</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2092</v>
      </c>
      <c r="B91" s="2">
        <v>95</v>
      </c>
      <c r="C91" s="301">
        <v>4.4670146235952415E-3</v>
      </c>
      <c r="D91" s="14">
        <v>53.939393939393902</v>
      </c>
      <c r="E91" s="2">
        <v>37</v>
      </c>
      <c r="F91" s="301">
        <v>1.5334245099258154E-3</v>
      </c>
      <c r="G91" s="14">
        <v>21.2121212121212</v>
      </c>
      <c r="H91" s="2">
        <v>132</v>
      </c>
      <c r="I91" s="301">
        <v>5.137786081270434E-3</v>
      </c>
      <c r="J91" s="14">
        <v>85.454544100000007</v>
      </c>
      <c r="K91" s="301">
        <v>0.38947368421052631</v>
      </c>
      <c r="L91" s="2">
        <v>242</v>
      </c>
      <c r="M91" s="301">
        <v>4.6109290450422986E-3</v>
      </c>
      <c r="N91" s="14">
        <v>66.6666666666666</v>
      </c>
      <c r="O91" s="2">
        <v>61</v>
      </c>
      <c r="P91" s="301">
        <v>1.150248906320712E-3</v>
      </c>
      <c r="Q91" s="14">
        <v>26.060606060605998</v>
      </c>
      <c r="R91" s="2">
        <v>204</v>
      </c>
      <c r="S91" s="301">
        <v>3.4624980905341414E-3</v>
      </c>
      <c r="T91" s="14">
        <v>92.727270000000004</v>
      </c>
      <c r="U91" s="301">
        <v>-0.15702479338842976</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2093</v>
      </c>
      <c r="B92" s="2">
        <v>25</v>
      </c>
      <c r="C92" s="301">
        <v>1.1755301641040109E-3</v>
      </c>
      <c r="D92" s="14">
        <v>24.848484848484802</v>
      </c>
      <c r="E92" s="2">
        <v>11</v>
      </c>
      <c r="F92" s="301">
        <v>4.5588296241037753E-4</v>
      </c>
      <c r="G92" s="14">
        <v>12.1212121212121</v>
      </c>
      <c r="H92" s="2">
        <v>0</v>
      </c>
      <c r="I92" s="301">
        <v>0</v>
      </c>
      <c r="J92" s="14">
        <v>18.787877999999999</v>
      </c>
      <c r="K92" s="301">
        <v>-1</v>
      </c>
      <c r="L92" s="2">
        <v>55</v>
      </c>
      <c r="M92" s="301">
        <v>1.0479384193277951E-3</v>
      </c>
      <c r="N92" s="14">
        <v>27.878787878787801</v>
      </c>
      <c r="O92" s="2">
        <v>21</v>
      </c>
      <c r="P92" s="301">
        <v>3.9598732840549105E-4</v>
      </c>
      <c r="Q92" s="14">
        <v>15.757575757575699</v>
      </c>
      <c r="R92" s="2">
        <v>0</v>
      </c>
      <c r="S92" s="301">
        <v>0</v>
      </c>
      <c r="T92" s="14">
        <v>18.787877999999999</v>
      </c>
      <c r="U92" s="301">
        <v>-1</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2094</v>
      </c>
      <c r="B93" s="2">
        <v>98</v>
      </c>
      <c r="C93" s="301">
        <v>4.6080782432877231E-3</v>
      </c>
      <c r="D93" s="14">
        <v>44.848484848484802</v>
      </c>
      <c r="E93" s="2">
        <v>26</v>
      </c>
      <c r="F93" s="301">
        <v>1.0775415475154379E-3</v>
      </c>
      <c r="G93" s="14">
        <v>18.7878787878787</v>
      </c>
      <c r="H93" s="2">
        <v>108</v>
      </c>
      <c r="I93" s="301">
        <v>4.2036431574030827E-3</v>
      </c>
      <c r="J93" s="14">
        <v>66.060609999999997</v>
      </c>
      <c r="K93" s="301">
        <v>0.10204081632653061</v>
      </c>
      <c r="L93" s="2">
        <v>134</v>
      </c>
      <c r="M93" s="301">
        <v>2.5531590579986282E-3</v>
      </c>
      <c r="N93" s="14">
        <v>49.090909090909101</v>
      </c>
      <c r="O93" s="2">
        <v>57</v>
      </c>
      <c r="P93" s="301">
        <v>1.0748227485291898E-3</v>
      </c>
      <c r="Q93" s="14">
        <v>28.484848484848399</v>
      </c>
      <c r="R93" s="2">
        <v>166</v>
      </c>
      <c r="S93" s="301">
        <v>2.8175229560228796E-3</v>
      </c>
      <c r="T93" s="14">
        <v>69.696969999999993</v>
      </c>
      <c r="U93" s="301">
        <v>0.23880597014925373</v>
      </c>
      <c r="V93" s="198">
        <v>25720</v>
      </c>
      <c r="W93" s="220">
        <v>2E-3</v>
      </c>
      <c r="X93" s="197">
        <v>640.61</v>
      </c>
      <c r="Y93" s="198">
        <v>27355</v>
      </c>
      <c r="Z93" s="220">
        <v>2E-3</v>
      </c>
      <c r="AA93" s="197">
        <v>765.45</v>
      </c>
      <c r="AB93" s="198">
        <v>29018</v>
      </c>
      <c r="AC93" s="220">
        <v>2E-3</v>
      </c>
      <c r="AD93" s="197">
        <v>863.03</v>
      </c>
      <c r="AE93" s="220">
        <v>0.128</v>
      </c>
    </row>
    <row r="94" spans="1:31" x14ac:dyDescent="0.3">
      <c r="A94" t="s">
        <v>2095</v>
      </c>
      <c r="B94" s="2">
        <v>0</v>
      </c>
      <c r="C94" s="301">
        <v>0</v>
      </c>
      <c r="D94" s="14">
        <v>80</v>
      </c>
      <c r="E94" s="2">
        <v>0</v>
      </c>
      <c r="F94" s="301">
        <v>0</v>
      </c>
      <c r="G94" s="14">
        <v>16.969696969696901</v>
      </c>
      <c r="H94" s="2">
        <v>0</v>
      </c>
      <c r="I94" s="301">
        <v>0</v>
      </c>
      <c r="J94" s="14">
        <v>18.787877999999999</v>
      </c>
      <c r="L94" s="2">
        <v>0</v>
      </c>
      <c r="M94" s="301">
        <v>0</v>
      </c>
      <c r="N94" s="14">
        <v>80</v>
      </c>
      <c r="O94" s="2">
        <v>11</v>
      </c>
      <c r="P94" s="301">
        <v>2.0742193392668577E-4</v>
      </c>
      <c r="Q94" s="14">
        <v>12.1212121212121</v>
      </c>
      <c r="R94" s="2">
        <v>0</v>
      </c>
      <c r="S94" s="301">
        <v>0</v>
      </c>
      <c r="T94" s="14">
        <v>18.787877999999999</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2096</v>
      </c>
      <c r="B95" s="2">
        <v>65</v>
      </c>
      <c r="C95" s="301">
        <v>3.0563784266704284E-3</v>
      </c>
      <c r="D95" s="14">
        <v>26.6666666666666</v>
      </c>
      <c r="E95" s="2">
        <v>96</v>
      </c>
      <c r="F95" s="301">
        <v>3.9786149446723856E-3</v>
      </c>
      <c r="G95" s="14">
        <v>41.818181818181799</v>
      </c>
      <c r="H95" s="2">
        <v>141</v>
      </c>
      <c r="I95" s="301">
        <v>5.488089677720691E-3</v>
      </c>
      <c r="J95" s="14">
        <v>64.242424</v>
      </c>
      <c r="K95" s="301">
        <v>1.1692307692307693</v>
      </c>
      <c r="L95" s="2">
        <v>207</v>
      </c>
      <c r="M95" s="301">
        <v>3.9440591418337017E-3</v>
      </c>
      <c r="N95" s="14">
        <v>59.393939393939398</v>
      </c>
      <c r="O95" s="2">
        <v>196</v>
      </c>
      <c r="P95" s="301">
        <v>3.6958817317845828E-3</v>
      </c>
      <c r="Q95" s="14">
        <v>58.181818181818201</v>
      </c>
      <c r="R95" s="2">
        <v>352</v>
      </c>
      <c r="S95" s="301">
        <v>5.9745065091569493E-3</v>
      </c>
      <c r="T95" s="14">
        <v>90.909090000000006</v>
      </c>
      <c r="U95" s="301">
        <v>0.70048309178743962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2097</v>
      </c>
      <c r="B96" s="2">
        <v>9</v>
      </c>
      <c r="C96" s="301">
        <v>4.2319085907744394E-4</v>
      </c>
      <c r="D96" s="14">
        <v>9.6969696969696901</v>
      </c>
      <c r="E96" s="2">
        <v>9</v>
      </c>
      <c r="F96" s="301">
        <v>3.729951510630362E-4</v>
      </c>
      <c r="G96" s="14">
        <v>8.4848484848484809</v>
      </c>
      <c r="H96" s="2">
        <v>0</v>
      </c>
      <c r="I96" s="301">
        <v>0</v>
      </c>
      <c r="J96" s="14">
        <v>18.787877999999999</v>
      </c>
      <c r="K96" s="301">
        <v>-1</v>
      </c>
      <c r="L96" s="2">
        <v>74</v>
      </c>
      <c r="M96" s="301">
        <v>1.4099535096410334E-3</v>
      </c>
      <c r="N96" s="14">
        <v>33.3333333333333</v>
      </c>
      <c r="O96" s="2">
        <v>26</v>
      </c>
      <c r="P96" s="301">
        <v>4.9027002564489366E-4</v>
      </c>
      <c r="Q96" s="14">
        <v>16.363636363636299</v>
      </c>
      <c r="R96" s="2">
        <v>6</v>
      </c>
      <c r="S96" s="301">
        <v>1.018381791333571E-4</v>
      </c>
      <c r="T96" s="14">
        <v>6.6666665099999998</v>
      </c>
      <c r="U96" s="301">
        <v>-0.91891891891891897</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2098</v>
      </c>
      <c r="B97" s="2">
        <v>34</v>
      </c>
      <c r="C97" s="301">
        <v>1.5987210231814548E-3</v>
      </c>
      <c r="D97" s="14">
        <v>29.696969696969699</v>
      </c>
      <c r="E97" s="2">
        <v>0</v>
      </c>
      <c r="F97" s="301">
        <v>0</v>
      </c>
      <c r="G97" s="14">
        <v>16.969696969696901</v>
      </c>
      <c r="H97" s="2">
        <v>0</v>
      </c>
      <c r="I97" s="301">
        <v>0</v>
      </c>
      <c r="J97" s="14">
        <v>18.787877999999999</v>
      </c>
      <c r="K97" s="301">
        <v>-1</v>
      </c>
      <c r="L97" s="2">
        <v>54</v>
      </c>
      <c r="M97" s="301">
        <v>1.0288849935218352E-3</v>
      </c>
      <c r="N97" s="14">
        <v>33.939393939393902</v>
      </c>
      <c r="O97" s="2">
        <v>29</v>
      </c>
      <c r="P97" s="301">
        <v>5.4683964398853527E-4</v>
      </c>
      <c r="Q97" s="14">
        <v>20.606060606060598</v>
      </c>
      <c r="R97" s="2">
        <v>37</v>
      </c>
      <c r="S97" s="301">
        <v>6.2800210465570208E-4</v>
      </c>
      <c r="T97" s="14">
        <v>23.636364</v>
      </c>
      <c r="U97" s="301">
        <v>-0.31481481481481483</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2099</v>
      </c>
      <c r="B98" s="2">
        <v>73</v>
      </c>
      <c r="C98" s="301">
        <v>3.4325480791837118E-3</v>
      </c>
      <c r="D98" s="14">
        <v>41.212121212121197</v>
      </c>
      <c r="E98" s="2">
        <v>17</v>
      </c>
      <c r="F98" s="301">
        <v>7.0454639645240163E-4</v>
      </c>
      <c r="G98" s="14">
        <v>16.969696969696901</v>
      </c>
      <c r="H98" s="2">
        <v>101</v>
      </c>
      <c r="I98" s="301">
        <v>3.9311848046084388E-3</v>
      </c>
      <c r="J98" s="14">
        <v>58.787880000000001</v>
      </c>
      <c r="K98" s="301">
        <v>0.38356164383561642</v>
      </c>
      <c r="L98" s="2">
        <v>118</v>
      </c>
      <c r="M98" s="301">
        <v>2.2483042451032697E-3</v>
      </c>
      <c r="N98" s="14">
        <v>51.515151515151501</v>
      </c>
      <c r="O98" s="2">
        <v>92</v>
      </c>
      <c r="P98" s="301">
        <v>1.7348016292050082E-3</v>
      </c>
      <c r="Q98" s="14">
        <v>49.696969696969703</v>
      </c>
      <c r="R98" s="2">
        <v>148</v>
      </c>
      <c r="S98" s="301">
        <v>2.5120084186228083E-3</v>
      </c>
      <c r="T98" s="14">
        <v>72.121215800000002</v>
      </c>
      <c r="U98" s="301">
        <v>0.25423728813559321</v>
      </c>
      <c r="V98" s="198">
        <v>35349</v>
      </c>
      <c r="W98" s="220">
        <v>2E-3</v>
      </c>
      <c r="X98" s="197">
        <v>830.3</v>
      </c>
      <c r="Y98" s="198">
        <v>36299</v>
      </c>
      <c r="Z98" s="220">
        <v>2E-3</v>
      </c>
      <c r="AA98" s="197">
        <v>913.33</v>
      </c>
      <c r="AB98" s="198">
        <v>34259</v>
      </c>
      <c r="AC98" s="220">
        <v>2E-3</v>
      </c>
      <c r="AD98" s="197">
        <v>834.55</v>
      </c>
      <c r="AE98" s="220">
        <v>-3.1E-2</v>
      </c>
    </row>
    <row r="99" spans="1:31" x14ac:dyDescent="0.3">
      <c r="A99" t="s">
        <v>2100</v>
      </c>
      <c r="B99" s="2">
        <v>484</v>
      </c>
      <c r="C99" s="301">
        <v>2.2758263977053651E-2</v>
      </c>
      <c r="D99" s="14">
        <v>140.60606060606</v>
      </c>
      <c r="E99" s="2">
        <v>472</v>
      </c>
      <c r="F99" s="301">
        <v>1.9561523477972565E-2</v>
      </c>
      <c r="G99" s="14">
        <v>107.272727272727</v>
      </c>
      <c r="H99" s="2">
        <v>665</v>
      </c>
      <c r="I99" s="301">
        <v>2.5883543515491204E-2</v>
      </c>
      <c r="J99" s="14">
        <v>172.121216</v>
      </c>
      <c r="K99" s="301">
        <v>0.37396694214876031</v>
      </c>
      <c r="L99" s="2">
        <v>1030</v>
      </c>
      <c r="M99" s="301">
        <v>1.9625028580138711E-2</v>
      </c>
      <c r="N99" s="14">
        <v>181.81818181818099</v>
      </c>
      <c r="O99" s="2">
        <v>1428</v>
      </c>
      <c r="P99" s="301">
        <v>2.692713833157339E-2</v>
      </c>
      <c r="Q99" s="14">
        <v>201.81818181818099</v>
      </c>
      <c r="R99" s="2">
        <v>1315</v>
      </c>
      <c r="S99" s="301">
        <v>2.2319534260060763E-2</v>
      </c>
      <c r="T99" s="14">
        <v>215.15152</v>
      </c>
      <c r="U99" s="301">
        <v>0.27669902912621358</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2101</v>
      </c>
      <c r="B100" s="2">
        <v>1390</v>
      </c>
      <c r="C100" s="301">
        <v>6.535947712418301E-2</v>
      </c>
      <c r="D100" s="14">
        <v>164.24242424242399</v>
      </c>
      <c r="E100" s="2">
        <v>1236</v>
      </c>
      <c r="F100" s="301">
        <v>5.1224667412656966E-2</v>
      </c>
      <c r="G100" s="14">
        <v>171.51515151515099</v>
      </c>
      <c r="H100" s="2">
        <v>1647</v>
      </c>
      <c r="I100" s="301">
        <v>6.4105558150397007E-2</v>
      </c>
      <c r="J100" s="14">
        <v>279.39395100000002</v>
      </c>
      <c r="K100" s="301">
        <v>0.18489208633093526</v>
      </c>
      <c r="L100" s="2">
        <v>2707</v>
      </c>
      <c r="M100" s="301">
        <v>5.1577623656733483E-2</v>
      </c>
      <c r="N100" s="14">
        <v>273.33333333333297</v>
      </c>
      <c r="O100" s="2">
        <v>2642</v>
      </c>
      <c r="P100" s="301">
        <v>4.9818977221300347E-2</v>
      </c>
      <c r="Q100" s="14">
        <v>255.75757575757501</v>
      </c>
      <c r="R100" s="2">
        <v>3612</v>
      </c>
      <c r="S100" s="301">
        <v>6.130658383828097E-2</v>
      </c>
      <c r="T100" s="14">
        <v>372.121216</v>
      </c>
      <c r="U100" s="301">
        <v>0.33431843369043224</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2102</v>
      </c>
      <c r="B101" s="2">
        <v>884</v>
      </c>
      <c r="C101" s="301">
        <v>4.1566746602717829E-2</v>
      </c>
      <c r="D101" s="14">
        <v>149.09090909090901</v>
      </c>
      <c r="E101" s="2">
        <v>887</v>
      </c>
      <c r="F101" s="301">
        <v>3.6760744332545899E-2</v>
      </c>
      <c r="G101" s="14">
        <v>152.72727272727201</v>
      </c>
      <c r="H101" s="2">
        <v>1201</v>
      </c>
      <c r="I101" s="301">
        <v>4.6746068815195392E-2</v>
      </c>
      <c r="J101" s="14">
        <v>240.606064</v>
      </c>
      <c r="K101" s="301">
        <v>0.35859728506787331</v>
      </c>
      <c r="L101" s="2">
        <v>2601</v>
      </c>
      <c r="M101" s="301">
        <v>4.9557960521301729E-2</v>
      </c>
      <c r="N101" s="14">
        <v>256.969696969697</v>
      </c>
      <c r="O101" s="2">
        <v>2442</v>
      </c>
      <c r="P101" s="301">
        <v>4.6047669331724245E-2</v>
      </c>
      <c r="Q101" s="14">
        <v>235.75757575757501</v>
      </c>
      <c r="R101" s="2">
        <v>3097</v>
      </c>
      <c r="S101" s="301">
        <v>5.2565473462667822E-2</v>
      </c>
      <c r="T101" s="14">
        <v>320</v>
      </c>
      <c r="U101" s="301">
        <v>0.19069588619761629</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2103</v>
      </c>
      <c r="B102" s="2">
        <v>340</v>
      </c>
      <c r="C102" s="301">
        <v>1.5987210231814548E-2</v>
      </c>
      <c r="D102" s="14">
        <v>92.121212121212096</v>
      </c>
      <c r="E102" s="2">
        <v>303</v>
      </c>
      <c r="F102" s="301">
        <v>1.2557503419122219E-2</v>
      </c>
      <c r="G102" s="14">
        <v>61.818181818181799</v>
      </c>
      <c r="H102" s="2">
        <v>331</v>
      </c>
      <c r="I102" s="301">
        <v>1.2883387825003893E-2</v>
      </c>
      <c r="J102" s="14">
        <v>96.363640000000004</v>
      </c>
      <c r="K102" s="301">
        <v>-2.6470588235294117E-2</v>
      </c>
      <c r="L102" s="2">
        <v>887</v>
      </c>
      <c r="M102" s="301">
        <v>1.6900388689886442E-2</v>
      </c>
      <c r="N102" s="14">
        <v>146.06060606060601</v>
      </c>
      <c r="O102" s="2">
        <v>842</v>
      </c>
      <c r="P102" s="301">
        <v>1.5877206215115403E-2</v>
      </c>
      <c r="Q102" s="14">
        <v>118.181818181818</v>
      </c>
      <c r="R102" s="2">
        <v>613</v>
      </c>
      <c r="S102" s="301">
        <v>1.0404467301457982E-2</v>
      </c>
      <c r="T102" s="14">
        <v>115.757576</v>
      </c>
      <c r="U102" s="301">
        <v>-0.30890642615558062</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2104</v>
      </c>
      <c r="B103" s="2">
        <v>517</v>
      </c>
      <c r="C103" s="301">
        <v>2.4309963793670945E-2</v>
      </c>
      <c r="D103" s="14">
        <v>139.39393939393901</v>
      </c>
      <c r="E103" s="2">
        <v>259</v>
      </c>
      <c r="F103" s="301">
        <v>1.0733971569480708E-2</v>
      </c>
      <c r="G103" s="14">
        <v>75.757575757575694</v>
      </c>
      <c r="H103" s="2">
        <v>323</v>
      </c>
      <c r="I103" s="301">
        <v>1.2572006850381442E-2</v>
      </c>
      <c r="J103" s="14">
        <v>90.909090000000006</v>
      </c>
      <c r="K103" s="301">
        <v>-0.37524177949709864</v>
      </c>
      <c r="L103" s="2">
        <v>1352</v>
      </c>
      <c r="M103" s="301">
        <v>2.5760231689657801E-2</v>
      </c>
      <c r="N103" s="14">
        <v>204.24242424242399</v>
      </c>
      <c r="O103" s="2">
        <v>1184</v>
      </c>
      <c r="P103" s="301">
        <v>2.232614270629054E-2</v>
      </c>
      <c r="Q103" s="14">
        <v>161.21212121212099</v>
      </c>
      <c r="R103" s="2">
        <v>1267</v>
      </c>
      <c r="S103" s="301">
        <v>2.1504828826993908E-2</v>
      </c>
      <c r="T103" s="14">
        <v>183.03030000000001</v>
      </c>
      <c r="U103" s="301">
        <v>-6.2869822485207102E-2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2107</v>
      </c>
      <c r="B104" s="2">
        <v>3974</v>
      </c>
      <c r="C104" s="301">
        <v>0.18686227488597357</v>
      </c>
      <c r="D104" s="14">
        <v>287.87878787878702</v>
      </c>
      <c r="E104" s="2">
        <v>4662</v>
      </c>
      <c r="F104" s="301">
        <v>0.19321148825065274</v>
      </c>
      <c r="G104" s="14">
        <v>350.90909090909003</v>
      </c>
      <c r="H104" s="2">
        <v>4907</v>
      </c>
      <c r="I104" s="301">
        <v>0.19099330530904562</v>
      </c>
      <c r="J104" s="14">
        <v>424.24243200000001</v>
      </c>
      <c r="K104" s="301">
        <v>0.23477604428787116</v>
      </c>
      <c r="L104" s="2">
        <v>12280</v>
      </c>
      <c r="M104" s="301">
        <v>0.23397606889718772</v>
      </c>
      <c r="N104" s="14">
        <v>479.39393939393898</v>
      </c>
      <c r="O104" s="2">
        <v>11045</v>
      </c>
      <c r="P104" s="301">
        <v>0.20827047820184039</v>
      </c>
      <c r="Q104" s="14">
        <v>541.81818181818096</v>
      </c>
      <c r="R104" s="2">
        <v>11611</v>
      </c>
      <c r="S104" s="301">
        <v>0.19707384965290153</v>
      </c>
      <c r="T104" s="14">
        <v>555.75756799999999</v>
      </c>
      <c r="U104" s="301">
        <v>-5.4478827361563516E-2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2092</v>
      </c>
      <c r="B105" s="2">
        <v>68</v>
      </c>
      <c r="C105" s="301">
        <v>3.1974420463629096E-3</v>
      </c>
      <c r="D105" s="14">
        <v>36.363636363636303</v>
      </c>
      <c r="E105" s="2">
        <v>25</v>
      </c>
      <c r="F105" s="301">
        <v>1.0360976418417672E-3</v>
      </c>
      <c r="G105" s="14">
        <v>26.060606060605998</v>
      </c>
      <c r="H105" s="2">
        <v>44</v>
      </c>
      <c r="I105" s="301">
        <v>1.7125953604234781E-3</v>
      </c>
      <c r="J105" s="14">
        <v>32.121212</v>
      </c>
      <c r="K105" s="301">
        <v>-0.35294117647058826</v>
      </c>
      <c r="L105" s="2">
        <v>249</v>
      </c>
      <c r="M105" s="301">
        <v>4.7443030256840183E-3</v>
      </c>
      <c r="N105" s="14">
        <v>55.757575757575701</v>
      </c>
      <c r="O105" s="2">
        <v>255</v>
      </c>
      <c r="P105" s="301">
        <v>4.8084175592095334E-3</v>
      </c>
      <c r="Q105" s="14">
        <v>72.727272727272705</v>
      </c>
      <c r="R105" s="2">
        <v>248</v>
      </c>
      <c r="S105" s="301">
        <v>4.2093114041787602E-3</v>
      </c>
      <c r="T105" s="14">
        <v>90.303030000000007</v>
      </c>
      <c r="U105" s="301">
        <v>-4.0160642570281121E-3</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2093</v>
      </c>
      <c r="B106" s="2">
        <v>82</v>
      </c>
      <c r="C106" s="301">
        <v>3.8557389382611559E-3</v>
      </c>
      <c r="D106" s="14">
        <v>35.757575757575701</v>
      </c>
      <c r="E106" s="2">
        <v>81</v>
      </c>
      <c r="F106" s="301">
        <v>3.3569563595673255E-3</v>
      </c>
      <c r="G106" s="14">
        <v>54.545454545454497</v>
      </c>
      <c r="H106" s="2">
        <v>115</v>
      </c>
      <c r="I106" s="301">
        <v>4.4761015101977266E-3</v>
      </c>
      <c r="J106" s="14">
        <v>67.878784199999998</v>
      </c>
      <c r="K106" s="301">
        <v>0.40243902439024393</v>
      </c>
      <c r="L106" s="2">
        <v>354</v>
      </c>
      <c r="M106" s="301">
        <v>6.7449127353098083E-3</v>
      </c>
      <c r="N106" s="14">
        <v>77.575757575757507</v>
      </c>
      <c r="O106" s="2">
        <v>305</v>
      </c>
      <c r="P106" s="301">
        <v>5.7512445316035598E-3</v>
      </c>
      <c r="Q106" s="14">
        <v>78.787878787878796</v>
      </c>
      <c r="R106" s="2">
        <v>287</v>
      </c>
      <c r="S106" s="301">
        <v>4.8712595685455815E-3</v>
      </c>
      <c r="T106" s="14">
        <v>91.515150000000006</v>
      </c>
      <c r="U106" s="301">
        <v>-0.18926553672316385</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2094</v>
      </c>
      <c r="B107" s="2">
        <v>216</v>
      </c>
      <c r="C107" s="301">
        <v>1.0156580617858655E-2</v>
      </c>
      <c r="D107" s="14">
        <v>69.090909090909093</v>
      </c>
      <c r="E107" s="2">
        <v>221</v>
      </c>
      <c r="F107" s="301">
        <v>9.159103153881222E-3</v>
      </c>
      <c r="G107" s="14">
        <v>75.151515151515099</v>
      </c>
      <c r="H107" s="2">
        <v>259</v>
      </c>
      <c r="I107" s="301">
        <v>1.0080959053401837E-2</v>
      </c>
      <c r="J107" s="14">
        <v>100</v>
      </c>
      <c r="K107" s="301">
        <v>0.19907407407407407</v>
      </c>
      <c r="L107" s="2">
        <v>654</v>
      </c>
      <c r="M107" s="301">
        <v>1.2460940477097782E-2</v>
      </c>
      <c r="N107" s="14">
        <v>107.87878787878699</v>
      </c>
      <c r="O107" s="2">
        <v>544</v>
      </c>
      <c r="P107" s="301">
        <v>1.0257957459647006E-2</v>
      </c>
      <c r="Q107" s="14">
        <v>99.393939393939405</v>
      </c>
      <c r="R107" s="2">
        <v>512</v>
      </c>
      <c r="S107" s="301">
        <v>8.6901912860464729E-3</v>
      </c>
      <c r="T107" s="14">
        <v>118.181816</v>
      </c>
      <c r="U107" s="301">
        <v>-0.21712538226299694</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2095</v>
      </c>
      <c r="B108" s="2">
        <v>132</v>
      </c>
      <c r="C108" s="301">
        <v>6.2067992664691773E-3</v>
      </c>
      <c r="D108" s="14">
        <v>57.5757575757575</v>
      </c>
      <c r="E108" s="2">
        <v>185</v>
      </c>
      <c r="F108" s="301">
        <v>7.6671225496290768E-3</v>
      </c>
      <c r="G108" s="14">
        <v>60</v>
      </c>
      <c r="H108" s="2">
        <v>322</v>
      </c>
      <c r="I108" s="301">
        <v>1.2533084228553636E-2</v>
      </c>
      <c r="J108" s="14">
        <v>109.696968</v>
      </c>
      <c r="K108" s="301">
        <v>1.4393939393939394</v>
      </c>
      <c r="L108" s="2">
        <v>670</v>
      </c>
      <c r="M108" s="301">
        <v>1.2765795289993141E-2</v>
      </c>
      <c r="N108" s="14">
        <v>108.484848484848</v>
      </c>
      <c r="O108" s="2">
        <v>680</v>
      </c>
      <c r="P108" s="301">
        <v>1.2822446824558758E-2</v>
      </c>
      <c r="Q108" s="14">
        <v>115.757575757575</v>
      </c>
      <c r="R108" s="2">
        <v>540</v>
      </c>
      <c r="S108" s="301">
        <v>9.1654361220021383E-3</v>
      </c>
      <c r="T108" s="14">
        <v>121.21212</v>
      </c>
      <c r="U108" s="301">
        <v>-0.19402985074626866</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2096</v>
      </c>
      <c r="B109" s="2">
        <v>1738</v>
      </c>
      <c r="C109" s="301">
        <v>8.1722857008510841E-2</v>
      </c>
      <c r="D109" s="14">
        <v>224.24242424242399</v>
      </c>
      <c r="E109" s="2">
        <v>1798</v>
      </c>
      <c r="F109" s="301">
        <v>7.4516142401259894E-2</v>
      </c>
      <c r="G109" s="14">
        <v>227.272727272727</v>
      </c>
      <c r="H109" s="2">
        <v>1721</v>
      </c>
      <c r="I109" s="301">
        <v>6.698583216565468E-2</v>
      </c>
      <c r="J109" s="14">
        <v>196.363632</v>
      </c>
      <c r="K109" s="301">
        <v>-9.781357882623706E-3</v>
      </c>
      <c r="L109" s="2">
        <v>4500</v>
      </c>
      <c r="M109" s="301">
        <v>8.5740416126819596E-2</v>
      </c>
      <c r="N109" s="14">
        <v>338.18181818181802</v>
      </c>
      <c r="O109" s="2">
        <v>3636</v>
      </c>
      <c r="P109" s="301">
        <v>6.856237743249359E-2</v>
      </c>
      <c r="Q109" s="14">
        <v>287.27272727272702</v>
      </c>
      <c r="R109" s="2">
        <v>3934</v>
      </c>
      <c r="S109" s="301">
        <v>6.677189945177113E-2</v>
      </c>
      <c r="T109" s="14">
        <v>290.30304000000001</v>
      </c>
      <c r="U109" s="301">
        <v>-0.12577777777777777</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2097</v>
      </c>
      <c r="B110" s="2">
        <v>223</v>
      </c>
      <c r="C110" s="301">
        <v>1.0485729063807778E-2</v>
      </c>
      <c r="D110" s="14">
        <v>75.151515151515099</v>
      </c>
      <c r="E110" s="2">
        <v>78</v>
      </c>
      <c r="F110" s="301">
        <v>3.2326246425463134E-3</v>
      </c>
      <c r="G110" s="14">
        <v>29.696969696969699</v>
      </c>
      <c r="H110" s="2">
        <v>313</v>
      </c>
      <c r="I110" s="301">
        <v>1.2182780632103379E-2</v>
      </c>
      <c r="J110" s="14">
        <v>111.515152</v>
      </c>
      <c r="K110" s="301">
        <v>0.40358744394618834</v>
      </c>
      <c r="L110" s="2">
        <v>650</v>
      </c>
      <c r="M110" s="301">
        <v>1.2384726773873943E-2</v>
      </c>
      <c r="N110" s="14">
        <v>118.181818181818</v>
      </c>
      <c r="O110" s="2">
        <v>422</v>
      </c>
      <c r="P110" s="301">
        <v>7.9574596470055811E-3</v>
      </c>
      <c r="Q110" s="14">
        <v>84.242424242424207</v>
      </c>
      <c r="R110" s="2">
        <v>520</v>
      </c>
      <c r="S110" s="301">
        <v>8.8259755248909482E-3</v>
      </c>
      <c r="T110" s="14">
        <v>119.393936</v>
      </c>
      <c r="U110" s="301">
        <v>-0.2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2098</v>
      </c>
      <c r="B111" s="2">
        <v>38</v>
      </c>
      <c r="C111" s="301">
        <v>1.7868058494380965E-3</v>
      </c>
      <c r="D111" s="14">
        <v>19.393939393939299</v>
      </c>
      <c r="E111" s="2">
        <v>68</v>
      </c>
      <c r="F111" s="301">
        <v>2.8181855858096065E-3</v>
      </c>
      <c r="G111" s="14">
        <v>32.121212121212103</v>
      </c>
      <c r="H111" s="2">
        <v>71</v>
      </c>
      <c r="I111" s="301">
        <v>2.7635061497742488E-3</v>
      </c>
      <c r="J111" s="14">
        <v>37.5757561</v>
      </c>
      <c r="K111" s="301">
        <v>0.86842105263157898</v>
      </c>
      <c r="L111" s="2">
        <v>301</v>
      </c>
      <c r="M111" s="301">
        <v>5.735081167593933E-3</v>
      </c>
      <c r="N111" s="14">
        <v>67.272727272727195</v>
      </c>
      <c r="O111" s="2">
        <v>261</v>
      </c>
      <c r="P111" s="301">
        <v>4.9215567958968169E-3</v>
      </c>
      <c r="Q111" s="14">
        <v>73.939393939393895</v>
      </c>
      <c r="R111" s="2">
        <v>167</v>
      </c>
      <c r="S111" s="301">
        <v>2.834495985878439E-3</v>
      </c>
      <c r="T111" s="14">
        <v>59.393940000000001</v>
      </c>
      <c r="U111" s="301">
        <v>-0.44518272425249167</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2099</v>
      </c>
      <c r="B112" s="2">
        <v>304</v>
      </c>
      <c r="C112" s="301">
        <v>1.4294446795504772E-2</v>
      </c>
      <c r="D112" s="14">
        <v>85.454545454545396</v>
      </c>
      <c r="E112" s="2">
        <v>280</v>
      </c>
      <c r="F112" s="301">
        <v>1.1604293588627792E-2</v>
      </c>
      <c r="G112" s="14">
        <v>94.545454545454504</v>
      </c>
      <c r="H112" s="2">
        <v>797</v>
      </c>
      <c r="I112" s="301">
        <v>3.1021329596761637E-2</v>
      </c>
      <c r="J112" s="14">
        <v>260</v>
      </c>
      <c r="K112" s="301">
        <v>1.6217105263157894</v>
      </c>
      <c r="L112" s="2">
        <v>1348</v>
      </c>
      <c r="M112" s="301">
        <v>2.5684017986433962E-2</v>
      </c>
      <c r="N112" s="14">
        <v>159.39393939393901</v>
      </c>
      <c r="O112" s="2">
        <v>932</v>
      </c>
      <c r="P112" s="301">
        <v>1.7574294765424648E-2</v>
      </c>
      <c r="Q112" s="14">
        <v>149.09090909090901</v>
      </c>
      <c r="R112" s="2">
        <v>1547</v>
      </c>
      <c r="S112" s="301">
        <v>2.6257277186550573E-2</v>
      </c>
      <c r="T112" s="14">
        <v>304.24243200000001</v>
      </c>
      <c r="U112" s="301">
        <v>0.14762611275964391</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2100</v>
      </c>
      <c r="B113" s="2">
        <v>140</v>
      </c>
      <c r="C113" s="301">
        <v>6.5829689189824611E-3</v>
      </c>
      <c r="D113" s="14">
        <v>49.090909090909101</v>
      </c>
      <c r="E113" s="2">
        <v>201</v>
      </c>
      <c r="F113" s="301">
        <v>8.3302250404078074E-3</v>
      </c>
      <c r="G113" s="14">
        <v>83.030303030303003</v>
      </c>
      <c r="H113" s="2">
        <v>416</v>
      </c>
      <c r="I113" s="301">
        <v>1.619181068036743E-2</v>
      </c>
      <c r="J113" s="14">
        <v>129.69697600000001</v>
      </c>
      <c r="K113" s="301">
        <v>1.9714285714285715</v>
      </c>
      <c r="L113" s="2">
        <v>466</v>
      </c>
      <c r="M113" s="301">
        <v>8.8788964255773189E-3</v>
      </c>
      <c r="N113" s="14">
        <v>84.242424242424207</v>
      </c>
      <c r="O113" s="2">
        <v>654</v>
      </c>
      <c r="P113" s="301">
        <v>1.2332176798913864E-2</v>
      </c>
      <c r="Q113" s="14">
        <v>116.363636363636</v>
      </c>
      <c r="R113" s="2">
        <v>912</v>
      </c>
      <c r="S113" s="301">
        <v>1.5479403228270279E-2</v>
      </c>
      <c r="T113" s="14">
        <v>158.18182400000001</v>
      </c>
      <c r="U113" s="301">
        <v>0.9570815450643777</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2101</v>
      </c>
      <c r="B114" s="2">
        <v>612</v>
      </c>
      <c r="C114" s="301">
        <v>2.8776978417266189E-2</v>
      </c>
      <c r="D114" s="14">
        <v>103.030303030303</v>
      </c>
      <c r="E114" s="2">
        <v>678</v>
      </c>
      <c r="F114" s="301">
        <v>2.8098968046748725E-2</v>
      </c>
      <c r="G114" s="14">
        <v>132.72727272727201</v>
      </c>
      <c r="H114" s="2">
        <v>490</v>
      </c>
      <c r="I114" s="301">
        <v>1.9072084695625099E-2</v>
      </c>
      <c r="J114" s="14">
        <v>156.363632</v>
      </c>
      <c r="K114" s="301">
        <v>-0.19934640522875818</v>
      </c>
      <c r="L114" s="2">
        <v>1566</v>
      </c>
      <c r="M114" s="301">
        <v>2.9837664812133222E-2</v>
      </c>
      <c r="N114" s="14">
        <v>175.75757575757501</v>
      </c>
      <c r="O114" s="2">
        <v>1249</v>
      </c>
      <c r="P114" s="301">
        <v>2.3551817770402775E-2</v>
      </c>
      <c r="Q114" s="14">
        <v>165.45454545454501</v>
      </c>
      <c r="R114" s="2">
        <v>1404</v>
      </c>
      <c r="S114" s="301">
        <v>2.3830133917205561E-2</v>
      </c>
      <c r="T114" s="14">
        <v>232.72728000000001</v>
      </c>
      <c r="U114" s="301">
        <v>-0.10344827586206896</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2102</v>
      </c>
      <c r="B115" s="2">
        <v>175</v>
      </c>
      <c r="C115" s="301">
        <v>8.2287111487280764E-3</v>
      </c>
      <c r="D115" s="14">
        <v>65.454545454545396</v>
      </c>
      <c r="E115" s="2">
        <v>492</v>
      </c>
      <c r="F115" s="301">
        <v>2.0390401591445978E-2</v>
      </c>
      <c r="G115" s="14">
        <v>115.151515151515</v>
      </c>
      <c r="H115" s="2">
        <v>201</v>
      </c>
      <c r="I115" s="301">
        <v>7.8234469873890711E-3</v>
      </c>
      <c r="J115" s="14">
        <v>83.030304000000001</v>
      </c>
      <c r="K115" s="301">
        <v>0.14857142857142858</v>
      </c>
      <c r="L115" s="2">
        <v>796</v>
      </c>
      <c r="M115" s="301">
        <v>1.5166526941544089E-2</v>
      </c>
      <c r="N115" s="14">
        <v>121.212121212121</v>
      </c>
      <c r="O115" s="2">
        <v>970</v>
      </c>
      <c r="P115" s="301">
        <v>1.829084326444411E-2</v>
      </c>
      <c r="Q115" s="14">
        <v>161.21212121212099</v>
      </c>
      <c r="R115" s="2">
        <v>835</v>
      </c>
      <c r="S115" s="301">
        <v>1.4172479929392195E-2</v>
      </c>
      <c r="T115" s="14">
        <v>136.363632</v>
      </c>
      <c r="U115" s="301">
        <v>4.8994974874371856E-2</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2103</v>
      </c>
      <c r="B116" s="2">
        <v>100</v>
      </c>
      <c r="C116" s="301">
        <v>4.7021206564160437E-3</v>
      </c>
      <c r="D116" s="14">
        <v>36.969696969696898</v>
      </c>
      <c r="E116" s="2">
        <v>91</v>
      </c>
      <c r="F116" s="301">
        <v>3.7713954163040323E-3</v>
      </c>
      <c r="G116" s="14">
        <v>42.424242424242401</v>
      </c>
      <c r="H116" s="2">
        <v>64</v>
      </c>
      <c r="I116" s="301">
        <v>2.4910477969796044E-3</v>
      </c>
      <c r="J116" s="14">
        <v>47.878788</v>
      </c>
      <c r="K116" s="301">
        <v>-0.36</v>
      </c>
      <c r="L116" s="2">
        <v>159</v>
      </c>
      <c r="M116" s="301">
        <v>3.0294947031476258E-3</v>
      </c>
      <c r="N116" s="14">
        <v>43.030303030303003</v>
      </c>
      <c r="O116" s="2">
        <v>329</v>
      </c>
      <c r="P116" s="301">
        <v>6.2038014783526926E-3</v>
      </c>
      <c r="Q116" s="14">
        <v>75.151515151515099</v>
      </c>
      <c r="R116" s="2">
        <v>259</v>
      </c>
      <c r="S116" s="301">
        <v>4.3960147325899143E-3</v>
      </c>
      <c r="T116" s="14">
        <v>70.303030000000007</v>
      </c>
      <c r="U116" s="301">
        <v>0.62893081761006286</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2104</v>
      </c>
      <c r="B117" s="2">
        <v>146</v>
      </c>
      <c r="C117" s="301">
        <v>6.8650961583674236E-3</v>
      </c>
      <c r="D117" s="14">
        <v>53.939393939393902</v>
      </c>
      <c r="E117" s="2">
        <v>464</v>
      </c>
      <c r="F117" s="301">
        <v>1.9229972232583197E-2</v>
      </c>
      <c r="G117" s="14">
        <v>126.06060606060601</v>
      </c>
      <c r="H117" s="2">
        <v>94</v>
      </c>
      <c r="I117" s="301">
        <v>3.658726451813794E-3</v>
      </c>
      <c r="J117" s="14">
        <v>43.636364</v>
      </c>
      <c r="K117" s="301">
        <v>-0.35616438356164382</v>
      </c>
      <c r="L117" s="2">
        <v>567</v>
      </c>
      <c r="M117" s="301">
        <v>1.0803292431979269E-2</v>
      </c>
      <c r="N117" s="14">
        <v>100.60606060606</v>
      </c>
      <c r="O117" s="2">
        <v>808</v>
      </c>
      <c r="P117" s="301">
        <v>1.5236083873887463E-2</v>
      </c>
      <c r="Q117" s="14">
        <v>176.363636363636</v>
      </c>
      <c r="R117" s="2">
        <v>446</v>
      </c>
      <c r="S117" s="301">
        <v>7.5699713155795443E-3</v>
      </c>
      <c r="T117" s="14">
        <v>113.333336</v>
      </c>
      <c r="U117" s="301">
        <v>-0.21340388007054673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2108</v>
      </c>
      <c r="B118" s="2">
        <v>6078</v>
      </c>
      <c r="C118" s="301">
        <v>0.28579489349696713</v>
      </c>
      <c r="D118" s="14">
        <v>489.69696969696901</v>
      </c>
      <c r="E118" s="2">
        <v>7618</v>
      </c>
      <c r="F118" s="301">
        <v>0.31571967342202328</v>
      </c>
      <c r="G118" s="14">
        <v>450.90909090909099</v>
      </c>
      <c r="H118" s="2">
        <v>7207</v>
      </c>
      <c r="I118" s="301">
        <v>0.28051533551300017</v>
      </c>
      <c r="J118" s="14">
        <v>495.75756799999999</v>
      </c>
      <c r="K118" s="301">
        <v>0.18575189206975978</v>
      </c>
      <c r="L118" s="2">
        <v>11805</v>
      </c>
      <c r="M118" s="301">
        <v>0.22492569163935675</v>
      </c>
      <c r="N118" s="14">
        <v>575.15151515151501</v>
      </c>
      <c r="O118" s="2">
        <v>12487</v>
      </c>
      <c r="P118" s="301">
        <v>0.23546160808568412</v>
      </c>
      <c r="Q118" s="14">
        <v>513.33333333333303</v>
      </c>
      <c r="R118" s="2">
        <v>13076</v>
      </c>
      <c r="S118" s="301">
        <v>0.22193933839129623</v>
      </c>
      <c r="T118" s="14">
        <v>664.84849999999994</v>
      </c>
      <c r="U118" s="301">
        <v>0.10766624311732317</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2092</v>
      </c>
      <c r="B119" s="2">
        <v>4463</v>
      </c>
      <c r="C119" s="301">
        <v>0.20985564489584801</v>
      </c>
      <c r="D119" s="14">
        <v>533.93939393939399</v>
      </c>
      <c r="E119" s="2">
        <v>5814</v>
      </c>
      <c r="F119" s="301">
        <v>0.24095486758672138</v>
      </c>
      <c r="G119" s="14">
        <v>418.18181818181802</v>
      </c>
      <c r="H119" s="2">
        <v>5088</v>
      </c>
      <c r="I119" s="301">
        <v>0.19803829985987856</v>
      </c>
      <c r="J119" s="14">
        <v>501.81817599999999</v>
      </c>
      <c r="K119" s="301">
        <v>0.14004033161550528</v>
      </c>
      <c r="L119" s="2">
        <v>6946</v>
      </c>
      <c r="M119" s="301">
        <v>0.13234509564819755</v>
      </c>
      <c r="N119" s="14">
        <v>571.51515151515105</v>
      </c>
      <c r="O119" s="2">
        <v>8011</v>
      </c>
      <c r="P119" s="301">
        <v>0.15105973751697088</v>
      </c>
      <c r="Q119" s="14">
        <v>458.18181818181802</v>
      </c>
      <c r="R119" s="2">
        <v>7301</v>
      </c>
      <c r="S119" s="301">
        <v>0.12392009097544003</v>
      </c>
      <c r="T119" s="14">
        <v>583.03030000000001</v>
      </c>
      <c r="U119" s="301">
        <v>5.1108551684422687E-2</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2093</v>
      </c>
      <c r="B120" s="2">
        <v>805</v>
      </c>
      <c r="C120" s="301">
        <v>3.785207128414915E-2</v>
      </c>
      <c r="D120" s="14">
        <v>127.272727272727</v>
      </c>
      <c r="E120" s="2">
        <v>803</v>
      </c>
      <c r="F120" s="301">
        <v>3.327945625595756E-2</v>
      </c>
      <c r="G120" s="14">
        <v>152.12121212121201</v>
      </c>
      <c r="H120" s="2">
        <v>1417</v>
      </c>
      <c r="I120" s="301">
        <v>5.5153355130001559E-2</v>
      </c>
      <c r="J120" s="14">
        <v>195.75756799999999</v>
      </c>
      <c r="K120" s="301">
        <v>0.76024844720496898</v>
      </c>
      <c r="L120" s="2">
        <v>2424</v>
      </c>
      <c r="M120" s="301">
        <v>4.6185504153646827E-2</v>
      </c>
      <c r="N120" s="14">
        <v>215.15151515151501</v>
      </c>
      <c r="O120" s="2">
        <v>2030</v>
      </c>
      <c r="P120" s="301">
        <v>3.8278775079197469E-2</v>
      </c>
      <c r="Q120" s="14">
        <v>245.45454545454501</v>
      </c>
      <c r="R120" s="2">
        <v>3853</v>
      </c>
      <c r="S120" s="301">
        <v>6.5397084033470818E-2</v>
      </c>
      <c r="T120" s="14">
        <v>290.30304000000001</v>
      </c>
      <c r="U120" s="301">
        <v>0.58952145214521456</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2094</v>
      </c>
      <c r="B121" s="2">
        <v>226</v>
      </c>
      <c r="C121" s="301">
        <v>1.0626792683500259E-2</v>
      </c>
      <c r="D121" s="14">
        <v>75.151515151515099</v>
      </c>
      <c r="E121" s="2">
        <v>196</v>
      </c>
      <c r="F121" s="301">
        <v>8.1230055120394551E-3</v>
      </c>
      <c r="G121" s="14">
        <v>92.121212121212096</v>
      </c>
      <c r="H121" s="2">
        <v>209</v>
      </c>
      <c r="I121" s="301">
        <v>8.1348279620115215E-3</v>
      </c>
      <c r="J121" s="14">
        <v>80</v>
      </c>
      <c r="K121" s="301">
        <v>-7.5221238938053103E-2</v>
      </c>
      <c r="L121" s="2">
        <v>470</v>
      </c>
      <c r="M121" s="301">
        <v>8.9551101288011577E-3</v>
      </c>
      <c r="N121" s="14">
        <v>101.212121212121</v>
      </c>
      <c r="O121" s="2">
        <v>524</v>
      </c>
      <c r="P121" s="301">
        <v>9.8808266706893952E-3</v>
      </c>
      <c r="Q121" s="14">
        <v>118.787878787878</v>
      </c>
      <c r="R121" s="2">
        <v>392</v>
      </c>
      <c r="S121" s="301">
        <v>6.6534277033793304E-3</v>
      </c>
      <c r="T121" s="14">
        <v>98.181816100000006</v>
      </c>
      <c r="U121" s="301">
        <v>-0.16595744680851063</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2095</v>
      </c>
      <c r="B122" s="2">
        <v>16</v>
      </c>
      <c r="C122" s="301">
        <v>7.5233930502656703E-4</v>
      </c>
      <c r="D122" s="14">
        <v>15.151515151515101</v>
      </c>
      <c r="E122" s="2">
        <v>20</v>
      </c>
      <c r="F122" s="301">
        <v>8.2887811347341373E-4</v>
      </c>
      <c r="G122" s="14">
        <v>20</v>
      </c>
      <c r="H122" s="2">
        <v>18</v>
      </c>
      <c r="I122" s="301">
        <v>7.0060719290051382E-4</v>
      </c>
      <c r="J122" s="14">
        <v>17.575758</v>
      </c>
      <c r="K122" s="301">
        <v>0.125</v>
      </c>
      <c r="L122" s="2">
        <v>159</v>
      </c>
      <c r="M122" s="301">
        <v>3.0294947031476258E-3</v>
      </c>
      <c r="N122" s="14">
        <v>48.484848484848399</v>
      </c>
      <c r="O122" s="2">
        <v>49</v>
      </c>
      <c r="P122" s="301">
        <v>9.2397043294614571E-4</v>
      </c>
      <c r="Q122" s="14">
        <v>28.484848484848399</v>
      </c>
      <c r="R122" s="2">
        <v>40</v>
      </c>
      <c r="S122" s="301">
        <v>6.7892119422238066E-4</v>
      </c>
      <c r="T122" s="14">
        <v>27.878788</v>
      </c>
      <c r="U122" s="301">
        <v>-0.74842767295597479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2096</v>
      </c>
      <c r="B123" s="2">
        <v>103</v>
      </c>
      <c r="C123" s="301">
        <v>4.8431842761085253E-3</v>
      </c>
      <c r="D123" s="14">
        <v>66.060606060606005</v>
      </c>
      <c r="E123" s="2">
        <v>144</v>
      </c>
      <c r="F123" s="301">
        <v>5.9679224170085792E-3</v>
      </c>
      <c r="G123" s="14">
        <v>67.878787878787804</v>
      </c>
      <c r="H123" s="2">
        <v>109</v>
      </c>
      <c r="I123" s="301">
        <v>4.2425657792308892E-3</v>
      </c>
      <c r="J123" s="14">
        <v>58.181820000000002</v>
      </c>
      <c r="K123" s="301">
        <v>5.8252427184466021E-2</v>
      </c>
      <c r="L123" s="2">
        <v>274</v>
      </c>
      <c r="M123" s="301">
        <v>5.2206386708330155E-3</v>
      </c>
      <c r="N123" s="14">
        <v>94.545454545454504</v>
      </c>
      <c r="O123" s="2">
        <v>276</v>
      </c>
      <c r="P123" s="301">
        <v>5.204404887615025E-3</v>
      </c>
      <c r="Q123" s="14">
        <v>83.636363636363598</v>
      </c>
      <c r="R123" s="2">
        <v>249</v>
      </c>
      <c r="S123" s="301">
        <v>4.2262844340343192E-3</v>
      </c>
      <c r="T123" s="14">
        <v>76.363640000000004</v>
      </c>
      <c r="U123" s="301">
        <v>-9.1240875912408759E-2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2097</v>
      </c>
      <c r="B124" s="2">
        <v>52</v>
      </c>
      <c r="C124" s="301">
        <v>2.4451027413363428E-3</v>
      </c>
      <c r="D124" s="14">
        <v>27.878787878787801</v>
      </c>
      <c r="E124" s="2">
        <v>79</v>
      </c>
      <c r="F124" s="301">
        <v>3.2740685482199844E-3</v>
      </c>
      <c r="G124" s="14">
        <v>49.696969696969703</v>
      </c>
      <c r="H124" s="2">
        <v>105</v>
      </c>
      <c r="I124" s="301">
        <v>4.086875291919664E-3</v>
      </c>
      <c r="J124" s="14">
        <v>60</v>
      </c>
      <c r="K124" s="301">
        <v>1.0192307692307692</v>
      </c>
      <c r="L124" s="2">
        <v>237</v>
      </c>
      <c r="M124" s="301">
        <v>4.5156619160124992E-3</v>
      </c>
      <c r="N124" s="14">
        <v>64.242424242424207</v>
      </c>
      <c r="O124" s="2">
        <v>225</v>
      </c>
      <c r="P124" s="301">
        <v>4.242721375773118E-3</v>
      </c>
      <c r="Q124" s="14">
        <v>82.424242424242394</v>
      </c>
      <c r="R124" s="2">
        <v>298</v>
      </c>
      <c r="S124" s="301">
        <v>5.0579628969567355E-3</v>
      </c>
      <c r="T124" s="14">
        <v>88.484849999999994</v>
      </c>
      <c r="U124" s="301">
        <v>0.25738396624472576</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2098</v>
      </c>
      <c r="B125" s="2">
        <v>49</v>
      </c>
      <c r="C125" s="301">
        <v>2.3040391216438616E-3</v>
      </c>
      <c r="D125" s="14">
        <v>44.2424242424242</v>
      </c>
      <c r="E125" s="2">
        <v>82</v>
      </c>
      <c r="F125" s="301">
        <v>3.3984002652409965E-3</v>
      </c>
      <c r="G125" s="14">
        <v>38.787878787878697</v>
      </c>
      <c r="H125" s="2">
        <v>0</v>
      </c>
      <c r="I125" s="301">
        <v>0</v>
      </c>
      <c r="J125" s="14">
        <v>18.787877999999999</v>
      </c>
      <c r="K125" s="301">
        <v>-1</v>
      </c>
      <c r="L125" s="2">
        <v>299</v>
      </c>
      <c r="M125" s="301">
        <v>5.6969743159820136E-3</v>
      </c>
      <c r="N125" s="14">
        <v>91.515151515151501</v>
      </c>
      <c r="O125" s="2">
        <v>174</v>
      </c>
      <c r="P125" s="301">
        <v>3.2810378639312114E-3</v>
      </c>
      <c r="Q125" s="14">
        <v>52.121212121212103</v>
      </c>
      <c r="R125" s="2">
        <v>123</v>
      </c>
      <c r="S125" s="301">
        <v>2.0876826722338203E-3</v>
      </c>
      <c r="T125" s="14">
        <v>65.454544100000007</v>
      </c>
      <c r="U125" s="301">
        <v>-0.58862876254180607</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2099</v>
      </c>
      <c r="B126" s="2">
        <v>10</v>
      </c>
      <c r="C126" s="301">
        <v>4.7021206564160437E-4</v>
      </c>
      <c r="D126" s="14">
        <v>9.6969696969696901</v>
      </c>
      <c r="E126" s="2">
        <v>0</v>
      </c>
      <c r="F126" s="301">
        <v>0</v>
      </c>
      <c r="G126" s="14">
        <v>16.969696969696901</v>
      </c>
      <c r="H126" s="2">
        <v>32</v>
      </c>
      <c r="I126" s="301">
        <v>1.2455238984898022E-3</v>
      </c>
      <c r="J126" s="14">
        <v>29.090910000000001</v>
      </c>
      <c r="K126" s="301">
        <v>2.2000000000000002</v>
      </c>
      <c r="L126" s="2">
        <v>43</v>
      </c>
      <c r="M126" s="301">
        <v>8.1929730965627618E-4</v>
      </c>
      <c r="N126" s="14">
        <v>22.424242424242401</v>
      </c>
      <c r="O126" s="2">
        <v>33</v>
      </c>
      <c r="P126" s="301">
        <v>6.2226580178005727E-4</v>
      </c>
      <c r="Q126" s="14">
        <v>18.7878787878787</v>
      </c>
      <c r="R126" s="2">
        <v>48</v>
      </c>
      <c r="S126" s="301">
        <v>8.1470543306685678E-4</v>
      </c>
      <c r="T126" s="14">
        <v>30.909089999999999</v>
      </c>
      <c r="U126" s="301">
        <v>0.11627906976744186</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2100</v>
      </c>
      <c r="B127" s="2">
        <v>34</v>
      </c>
      <c r="C127" s="301">
        <v>1.5987210231814548E-3</v>
      </c>
      <c r="D127" s="14">
        <v>27.272727272727199</v>
      </c>
      <c r="E127" s="2">
        <v>72</v>
      </c>
      <c r="F127" s="301">
        <v>2.9839612085042896E-3</v>
      </c>
      <c r="G127" s="2">
        <v>38.181818181818102</v>
      </c>
      <c r="H127" s="2">
        <v>0</v>
      </c>
      <c r="I127" s="301">
        <v>0</v>
      </c>
      <c r="J127" s="14">
        <v>18.787877999999999</v>
      </c>
      <c r="K127" s="301">
        <v>-1</v>
      </c>
      <c r="L127" s="2">
        <v>155</v>
      </c>
      <c r="M127" s="301">
        <v>2.9532809999237861E-3</v>
      </c>
      <c r="N127" s="14">
        <v>55.757575757575701</v>
      </c>
      <c r="O127" s="2">
        <v>212</v>
      </c>
      <c r="P127" s="301">
        <v>3.9975863629506713E-3</v>
      </c>
      <c r="Q127" s="2">
        <v>66.060606060606005</v>
      </c>
      <c r="R127" s="2">
        <v>69</v>
      </c>
      <c r="S127" s="301">
        <v>1.1711390600336066E-3</v>
      </c>
      <c r="T127" s="14">
        <v>35.151516000000001</v>
      </c>
      <c r="U127" s="301">
        <v>-0.55483870967741933</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2101</v>
      </c>
      <c r="B128" s="2">
        <v>28</v>
      </c>
      <c r="C128" s="301">
        <v>1.3165937837964921E-3</v>
      </c>
      <c r="D128" s="14">
        <v>21.2121212121212</v>
      </c>
      <c r="E128" s="2">
        <v>55</v>
      </c>
      <c r="F128" s="301">
        <v>2.279414812051888E-3</v>
      </c>
      <c r="G128" s="14">
        <v>37.5757575757575</v>
      </c>
      <c r="H128" s="2">
        <v>12</v>
      </c>
      <c r="I128" s="301">
        <v>4.6707146193367583E-4</v>
      </c>
      <c r="J128" s="14">
        <v>12.121212</v>
      </c>
      <c r="K128" s="301">
        <v>-0.5714285714285714</v>
      </c>
      <c r="L128" s="2">
        <v>166</v>
      </c>
      <c r="M128" s="301">
        <v>3.1628686837893451E-3</v>
      </c>
      <c r="N128" s="14">
        <v>53.939393939393902</v>
      </c>
      <c r="O128" s="2">
        <v>112</v>
      </c>
      <c r="P128" s="301">
        <v>2.1119324181626186E-3</v>
      </c>
      <c r="Q128" s="14">
        <v>47.272727272727202</v>
      </c>
      <c r="R128" s="2">
        <v>120</v>
      </c>
      <c r="S128" s="301">
        <v>2.036763582667142E-3</v>
      </c>
      <c r="T128" s="14">
        <v>46.060607900000001</v>
      </c>
      <c r="U128" s="301">
        <v>-0.27710843373493976</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2102</v>
      </c>
      <c r="B129" s="2">
        <v>0</v>
      </c>
      <c r="C129" s="301">
        <v>0</v>
      </c>
      <c r="D129" s="14">
        <v>80</v>
      </c>
      <c r="E129" s="2">
        <v>13</v>
      </c>
      <c r="F129" s="301">
        <v>5.3877077375771897E-4</v>
      </c>
      <c r="G129" s="2">
        <v>16.363636363636299</v>
      </c>
      <c r="H129" s="2">
        <v>0</v>
      </c>
      <c r="I129" s="301">
        <v>0</v>
      </c>
      <c r="J129" s="14">
        <v>18.787877999999999</v>
      </c>
      <c r="L129" s="2">
        <v>29</v>
      </c>
      <c r="M129" s="301">
        <v>5.5254934837283747E-4</v>
      </c>
      <c r="N129" s="14">
        <v>21.818181818181799</v>
      </c>
      <c r="O129" s="2">
        <v>54</v>
      </c>
      <c r="P129" s="301">
        <v>1.0182531301855483E-3</v>
      </c>
      <c r="Q129" s="2">
        <v>27.272727272727199</v>
      </c>
      <c r="R129" s="2">
        <v>16</v>
      </c>
      <c r="S129" s="301">
        <v>2.7156847768895228E-4</v>
      </c>
      <c r="T129" s="14">
        <v>12.121212</v>
      </c>
      <c r="U129" s="301">
        <v>-0.44827586206896552</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2103</v>
      </c>
      <c r="B130" s="2">
        <v>292</v>
      </c>
      <c r="C130" s="301">
        <v>1.3730192316734847E-2</v>
      </c>
      <c r="D130" s="14">
        <v>81.818181818181799</v>
      </c>
      <c r="E130" s="2">
        <v>322</v>
      </c>
      <c r="F130" s="301">
        <v>1.3344937626921962E-2</v>
      </c>
      <c r="G130" s="14">
        <v>92.727272727272705</v>
      </c>
      <c r="H130" s="2">
        <v>175</v>
      </c>
      <c r="I130" s="301">
        <v>6.8114588198661058E-3</v>
      </c>
      <c r="J130" s="14">
        <v>60.606059999999999</v>
      </c>
      <c r="K130" s="301">
        <v>-0.40068493150684931</v>
      </c>
      <c r="L130" s="2">
        <v>561</v>
      </c>
      <c r="M130" s="301">
        <v>1.0688971877143511E-2</v>
      </c>
      <c r="N130" s="14">
        <v>112.72727272727199</v>
      </c>
      <c r="O130" s="2">
        <v>658</v>
      </c>
      <c r="P130" s="301">
        <v>1.2407602956705385E-2</v>
      </c>
      <c r="Q130" s="14">
        <v>122.424242424242</v>
      </c>
      <c r="R130" s="2">
        <v>421</v>
      </c>
      <c r="S130" s="301">
        <v>7.1456455691905566E-3</v>
      </c>
      <c r="T130" s="14">
        <v>81.818183899999994</v>
      </c>
      <c r="U130" s="301">
        <v>-0.24955436720142601</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2104</v>
      </c>
      <c r="B131" s="2">
        <v>0</v>
      </c>
      <c r="C131" s="301">
        <v>0</v>
      </c>
      <c r="D131" s="14">
        <v>80</v>
      </c>
      <c r="E131" s="2">
        <v>18</v>
      </c>
      <c r="F131" s="301">
        <v>7.459903021260724E-4</v>
      </c>
      <c r="G131" s="14">
        <v>16.969696969696901</v>
      </c>
      <c r="H131" s="2">
        <v>42</v>
      </c>
      <c r="I131" s="301">
        <v>1.6347501167678655E-3</v>
      </c>
      <c r="J131" s="14">
        <v>30.30303</v>
      </c>
      <c r="L131" s="2">
        <v>42</v>
      </c>
      <c r="M131" s="301">
        <v>8.0024388385031625E-4</v>
      </c>
      <c r="N131" s="14">
        <v>21.2121212121212</v>
      </c>
      <c r="O131" s="2">
        <v>129</v>
      </c>
      <c r="P131" s="301">
        <v>2.4324935887765878E-3</v>
      </c>
      <c r="Q131" s="14">
        <v>38.181818181818102</v>
      </c>
      <c r="R131" s="2">
        <v>146</v>
      </c>
      <c r="S131" s="301">
        <v>2.4780623589116895E-3</v>
      </c>
      <c r="T131" s="14">
        <v>60</v>
      </c>
      <c r="U131" s="301">
        <v>2.4761904761904763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2109</v>
      </c>
      <c r="B132" s="2">
        <v>3220</v>
      </c>
      <c r="C132" s="301">
        <v>0.1514082851365966</v>
      </c>
      <c r="D132" s="14">
        <v>252.12121212121201</v>
      </c>
      <c r="E132" s="2">
        <v>3713</v>
      </c>
      <c r="F132" s="301">
        <v>0.15388122176633925</v>
      </c>
      <c r="G132" s="14">
        <v>342.42424242424198</v>
      </c>
      <c r="H132" s="2">
        <v>3750</v>
      </c>
      <c r="I132" s="301">
        <v>0.14595983185427369</v>
      </c>
      <c r="J132" s="14">
        <v>246.66667200000001</v>
      </c>
      <c r="K132" s="301">
        <v>0.16459627329192547</v>
      </c>
      <c r="L132" s="2">
        <v>6506</v>
      </c>
      <c r="M132" s="301">
        <v>0.12396158829357519</v>
      </c>
      <c r="N132" s="14">
        <v>317.575757575757</v>
      </c>
      <c r="O132" s="2">
        <v>7034</v>
      </c>
      <c r="P132" s="301">
        <v>0.13263689847639162</v>
      </c>
      <c r="Q132" s="14">
        <v>390.90909090909099</v>
      </c>
      <c r="R132" s="2">
        <v>8210</v>
      </c>
      <c r="S132" s="301">
        <v>0.13934857511414361</v>
      </c>
      <c r="T132" s="14">
        <v>447.27273600000001</v>
      </c>
      <c r="U132" s="301">
        <v>0.26191208115585612</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2092</v>
      </c>
      <c r="B133" s="2">
        <v>145</v>
      </c>
      <c r="C133" s="301">
        <v>6.8180749518032633E-3</v>
      </c>
      <c r="D133" s="14">
        <v>58.181818181818201</v>
      </c>
      <c r="E133" s="2">
        <v>193</v>
      </c>
      <c r="F133" s="301">
        <v>7.998673795018443E-3</v>
      </c>
      <c r="G133" s="14">
        <v>69.090909090909093</v>
      </c>
      <c r="H133" s="2">
        <v>121</v>
      </c>
      <c r="I133" s="301">
        <v>4.7096372411645649E-3</v>
      </c>
      <c r="J133" s="14">
        <v>50.303031900000001</v>
      </c>
      <c r="K133" s="301">
        <v>-0.16551724137931034</v>
      </c>
      <c r="L133" s="2">
        <v>254</v>
      </c>
      <c r="M133" s="301">
        <v>4.8395701547138178E-3</v>
      </c>
      <c r="N133" s="14">
        <v>62.424242424242401</v>
      </c>
      <c r="O133" s="2">
        <v>260</v>
      </c>
      <c r="P133" s="301">
        <v>4.9027002564489362E-3</v>
      </c>
      <c r="Q133" s="14">
        <v>76.363636363636303</v>
      </c>
      <c r="R133" s="2">
        <v>230</v>
      </c>
      <c r="S133" s="301">
        <v>3.9037968667786885E-3</v>
      </c>
      <c r="T133" s="14">
        <v>73.939390000000003</v>
      </c>
      <c r="U133" s="301">
        <v>-9.4488188976377951E-2</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2093</v>
      </c>
      <c r="B134" s="2">
        <v>81</v>
      </c>
      <c r="C134" s="301">
        <v>3.8087177316969952E-3</v>
      </c>
      <c r="D134" s="14">
        <v>43.030303030303003</v>
      </c>
      <c r="E134" s="2">
        <v>13</v>
      </c>
      <c r="F134" s="301">
        <v>5.3877077375771897E-4</v>
      </c>
      <c r="G134" s="14">
        <v>10.303030303030299</v>
      </c>
      <c r="H134" s="2">
        <v>70</v>
      </c>
      <c r="I134" s="301">
        <v>2.7245835279464427E-3</v>
      </c>
      <c r="J134" s="14">
        <v>46.6666679</v>
      </c>
      <c r="K134" s="301">
        <v>-0.13580246913580246</v>
      </c>
      <c r="L134" s="2">
        <v>198</v>
      </c>
      <c r="M134" s="301">
        <v>3.7725783095800625E-3</v>
      </c>
      <c r="N134" s="14">
        <v>63.030303030303003</v>
      </c>
      <c r="O134" s="2">
        <v>68</v>
      </c>
      <c r="P134" s="301">
        <v>1.2822446824558758E-3</v>
      </c>
      <c r="Q134" s="14">
        <v>30.303030303030301</v>
      </c>
      <c r="R134" s="2">
        <v>166</v>
      </c>
      <c r="S134" s="301">
        <v>2.8175229560228796E-3</v>
      </c>
      <c r="T134" s="14">
        <v>53.939392099999999</v>
      </c>
      <c r="U134" s="301">
        <v>-0.16161616161616163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2094</v>
      </c>
      <c r="B135" s="2">
        <v>1266</v>
      </c>
      <c r="C135" s="301">
        <v>5.9528847510227113E-2</v>
      </c>
      <c r="D135" s="14">
        <v>190.90909090909</v>
      </c>
      <c r="E135" s="2">
        <v>1632</v>
      </c>
      <c r="F135" s="301">
        <v>6.7636454059430556E-2</v>
      </c>
      <c r="G135" s="14">
        <v>207.87878787878699</v>
      </c>
      <c r="H135" s="2">
        <v>1437</v>
      </c>
      <c r="I135" s="301">
        <v>5.5931807566557683E-2</v>
      </c>
      <c r="J135" s="14">
        <v>206.66667200000001</v>
      </c>
      <c r="K135" s="301">
        <v>0.13507109004739337</v>
      </c>
      <c r="L135" s="2">
        <v>2604</v>
      </c>
      <c r="M135" s="301">
        <v>4.961512079871961E-2</v>
      </c>
      <c r="N135" s="14">
        <v>258.78787878787801</v>
      </c>
      <c r="O135" s="2">
        <v>2701</v>
      </c>
      <c r="P135" s="301">
        <v>5.0931513048725299E-2</v>
      </c>
      <c r="Q135" s="14">
        <v>286.06060606060601</v>
      </c>
      <c r="R135" s="2">
        <v>3100</v>
      </c>
      <c r="S135" s="301">
        <v>5.2616392552234499E-2</v>
      </c>
      <c r="T135" s="14">
        <v>283.63635299999999</v>
      </c>
      <c r="U135" s="301">
        <v>0.19047619047619047</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2095</v>
      </c>
      <c r="B136" s="2">
        <v>285</v>
      </c>
      <c r="C136" s="301">
        <v>1.3401043870785724E-2</v>
      </c>
      <c r="D136" s="14">
        <v>71.515151515151501</v>
      </c>
      <c r="E136" s="2">
        <v>154</v>
      </c>
      <c r="F136" s="301">
        <v>6.3823614737452856E-3</v>
      </c>
      <c r="G136" s="14">
        <v>59.393939393939398</v>
      </c>
      <c r="H136" s="2">
        <v>352</v>
      </c>
      <c r="I136" s="301">
        <v>1.3700762883387825E-2</v>
      </c>
      <c r="J136" s="14">
        <v>119.393936</v>
      </c>
      <c r="K136" s="301">
        <v>0.23508771929824562</v>
      </c>
      <c r="L136" s="2">
        <v>458</v>
      </c>
      <c r="M136" s="301">
        <v>8.7264690191296394E-3</v>
      </c>
      <c r="N136" s="14">
        <v>83.030303030303003</v>
      </c>
      <c r="O136" s="2">
        <v>400</v>
      </c>
      <c r="P136" s="301">
        <v>7.5426157791522097E-3</v>
      </c>
      <c r="Q136" s="14">
        <v>96.363636363636402</v>
      </c>
      <c r="R136" s="2">
        <v>464</v>
      </c>
      <c r="S136" s="301">
        <v>7.8754858529796155E-3</v>
      </c>
      <c r="T136" s="14">
        <v>130.909088</v>
      </c>
      <c r="U136" s="301">
        <v>1.3100436681222707E-2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2096</v>
      </c>
      <c r="B137" s="2">
        <v>214</v>
      </c>
      <c r="C137" s="301">
        <v>1.0062538204730333E-2</v>
      </c>
      <c r="D137" s="14">
        <v>70.909090909090907</v>
      </c>
      <c r="E137" s="2">
        <v>528</v>
      </c>
      <c r="F137" s="301">
        <v>2.1882382195698123E-2</v>
      </c>
      <c r="G137" s="14">
        <v>116.969696969697</v>
      </c>
      <c r="H137" s="2">
        <v>427</v>
      </c>
      <c r="I137" s="301">
        <v>1.66199595204733E-2</v>
      </c>
      <c r="J137" s="14">
        <v>112.727272</v>
      </c>
      <c r="K137" s="301">
        <v>0.99532710280373837</v>
      </c>
      <c r="L137" s="2">
        <v>577</v>
      </c>
      <c r="M137" s="301">
        <v>1.099382669003887E-2</v>
      </c>
      <c r="N137" s="14">
        <v>120.60606060606</v>
      </c>
      <c r="O137" s="2">
        <v>780</v>
      </c>
      <c r="P137" s="301">
        <v>1.470810076934681E-2</v>
      </c>
      <c r="Q137" s="14">
        <v>133.939393939393</v>
      </c>
      <c r="R137" s="2">
        <v>1001</v>
      </c>
      <c r="S137" s="301">
        <v>1.6990002885415075E-2</v>
      </c>
      <c r="T137" s="14">
        <v>155.15152</v>
      </c>
      <c r="U137" s="301">
        <v>0.73483535528596189</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2097</v>
      </c>
      <c r="B138" s="2">
        <v>719</v>
      </c>
      <c r="C138" s="301">
        <v>3.3808247519631351E-2</v>
      </c>
      <c r="D138" s="14">
        <v>143.636363636363</v>
      </c>
      <c r="E138" s="2">
        <v>768</v>
      </c>
      <c r="F138" s="301">
        <v>3.1828919557379085E-2</v>
      </c>
      <c r="G138" s="14">
        <v>132.12121212121201</v>
      </c>
      <c r="H138" s="2">
        <v>709</v>
      </c>
      <c r="I138" s="301">
        <v>2.759613887591468E-2</v>
      </c>
      <c r="J138" s="14">
        <v>158.78787199999999</v>
      </c>
      <c r="K138" s="301">
        <v>-1.3908205841446454E-2</v>
      </c>
      <c r="L138" s="2">
        <v>1396</v>
      </c>
      <c r="M138" s="301">
        <v>2.6598582425120035E-2</v>
      </c>
      <c r="N138" s="14">
        <v>167.272727272727</v>
      </c>
      <c r="O138" s="2">
        <v>1696</v>
      </c>
      <c r="P138" s="301">
        <v>3.198069090360537E-2</v>
      </c>
      <c r="Q138" s="14">
        <v>179.39393939393901</v>
      </c>
      <c r="R138" s="2">
        <v>1701</v>
      </c>
      <c r="S138" s="301">
        <v>2.8871123784306736E-2</v>
      </c>
      <c r="T138" s="14">
        <v>204.24243200000001</v>
      </c>
      <c r="U138" s="301">
        <v>0.2184813753581662</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2098</v>
      </c>
      <c r="B139" s="2">
        <v>0</v>
      </c>
      <c r="C139" s="301">
        <v>0</v>
      </c>
      <c r="D139" s="14">
        <v>80</v>
      </c>
      <c r="E139" s="2">
        <v>0</v>
      </c>
      <c r="F139" s="301">
        <v>0</v>
      </c>
      <c r="G139" s="14">
        <v>16.969696969696901</v>
      </c>
      <c r="H139" s="2">
        <v>0</v>
      </c>
      <c r="I139" s="301">
        <v>0</v>
      </c>
      <c r="J139" s="14">
        <v>18.787877999999999</v>
      </c>
      <c r="L139" s="2">
        <v>85</v>
      </c>
      <c r="M139" s="301">
        <v>1.6195411935065924E-3</v>
      </c>
      <c r="N139" s="14">
        <v>56.969696969696898</v>
      </c>
      <c r="O139" s="2">
        <v>32</v>
      </c>
      <c r="P139" s="301">
        <v>6.0340926233217677E-4</v>
      </c>
      <c r="Q139" s="14">
        <v>20</v>
      </c>
      <c r="R139" s="2">
        <v>19</v>
      </c>
      <c r="S139" s="301">
        <v>3.224875672556308E-4</v>
      </c>
      <c r="T139" s="14">
        <v>14.545455</v>
      </c>
      <c r="U139" s="301">
        <v>-0.77647058823529413</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2099</v>
      </c>
      <c r="B140" s="2">
        <v>9</v>
      </c>
      <c r="C140" s="301">
        <v>4.2319085907744394E-4</v>
      </c>
      <c r="D140" s="14">
        <v>9.0909090909090899</v>
      </c>
      <c r="E140" s="2">
        <v>31</v>
      </c>
      <c r="F140" s="301">
        <v>1.2847610758837914E-3</v>
      </c>
      <c r="G140" s="14">
        <v>31.515151515151501</v>
      </c>
      <c r="H140" s="2">
        <v>23</v>
      </c>
      <c r="I140" s="301">
        <v>8.9522030203954535E-4</v>
      </c>
      <c r="J140" s="14">
        <v>22.424242</v>
      </c>
      <c r="K140" s="301">
        <v>1.5555555555555556</v>
      </c>
      <c r="L140" s="2">
        <v>22</v>
      </c>
      <c r="M140" s="301">
        <v>4.1917536773111806E-4</v>
      </c>
      <c r="N140" s="14">
        <v>15.151515151515101</v>
      </c>
      <c r="O140" s="2">
        <v>31</v>
      </c>
      <c r="P140" s="301">
        <v>5.8455272288429627E-4</v>
      </c>
      <c r="Q140" s="14">
        <v>31.515151515151501</v>
      </c>
      <c r="R140" s="2">
        <v>30</v>
      </c>
      <c r="S140" s="301">
        <v>5.091908956667855E-4</v>
      </c>
      <c r="T140" s="14">
        <v>24.242424</v>
      </c>
      <c r="U140" s="301">
        <v>0.36363636363636365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2100</v>
      </c>
      <c r="B141" s="2">
        <v>124</v>
      </c>
      <c r="C141" s="301">
        <v>5.8306296139558943E-3</v>
      </c>
      <c r="D141" s="14">
        <v>49.090909090909101</v>
      </c>
      <c r="E141" s="2">
        <v>165</v>
      </c>
      <c r="F141" s="301">
        <v>6.8382444361556631E-3</v>
      </c>
      <c r="G141" s="14">
        <v>63.030303030303003</v>
      </c>
      <c r="H141" s="2">
        <v>268</v>
      </c>
      <c r="I141" s="301">
        <v>1.0431262649852094E-2</v>
      </c>
      <c r="J141" s="14">
        <v>96.363640000000004</v>
      </c>
      <c r="K141" s="301">
        <v>1.1612903225806452</v>
      </c>
      <c r="L141" s="2">
        <v>255</v>
      </c>
      <c r="M141" s="301">
        <v>4.8586235805197775E-3</v>
      </c>
      <c r="N141" s="14">
        <v>76.969696969696898</v>
      </c>
      <c r="O141" s="2">
        <v>251</v>
      </c>
      <c r="P141" s="301">
        <v>4.7329914014180114E-3</v>
      </c>
      <c r="Q141" s="14">
        <v>75.151515151515099</v>
      </c>
      <c r="R141" s="2">
        <v>611</v>
      </c>
      <c r="S141" s="301">
        <v>1.0370521241746864E-2</v>
      </c>
      <c r="T141" s="14">
        <v>162.42424</v>
      </c>
      <c r="U141" s="301">
        <v>1.3960784313725489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2101</v>
      </c>
      <c r="B142" s="2">
        <v>183</v>
      </c>
      <c r="C142" s="301">
        <v>8.6048808012413602E-3</v>
      </c>
      <c r="D142" s="14">
        <v>60.606060606060602</v>
      </c>
      <c r="E142" s="2">
        <v>146</v>
      </c>
      <c r="F142" s="301">
        <v>6.0508102283559203E-3</v>
      </c>
      <c r="G142" s="14">
        <v>58.787878787878803</v>
      </c>
      <c r="H142" s="2">
        <v>68</v>
      </c>
      <c r="I142" s="301">
        <v>2.6467382842908296E-3</v>
      </c>
      <c r="J142" s="14">
        <v>32.727271999999999</v>
      </c>
      <c r="K142" s="301">
        <v>-0.62841530054644812</v>
      </c>
      <c r="L142" s="2">
        <v>319</v>
      </c>
      <c r="M142" s="301">
        <v>6.0780428321012114E-3</v>
      </c>
      <c r="N142" s="14">
        <v>80</v>
      </c>
      <c r="O142" s="2">
        <v>365</v>
      </c>
      <c r="P142" s="301">
        <v>6.8826368984763915E-3</v>
      </c>
      <c r="Q142" s="14">
        <v>97.575757575757606</v>
      </c>
      <c r="R142" s="2">
        <v>155</v>
      </c>
      <c r="S142" s="301">
        <v>2.6308196276117251E-3</v>
      </c>
      <c r="T142" s="14">
        <v>61.818179999999998</v>
      </c>
      <c r="U142" s="301">
        <v>-0.51410658307210033</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2102</v>
      </c>
      <c r="B143" s="2">
        <v>14</v>
      </c>
      <c r="C143" s="301">
        <v>6.5829689189824607E-4</v>
      </c>
      <c r="D143" s="14">
        <v>13.9393939393939</v>
      </c>
      <c r="E143" s="2">
        <v>26</v>
      </c>
      <c r="F143" s="301">
        <v>1.0775415475154379E-3</v>
      </c>
      <c r="G143" s="14">
        <v>16.969696969696901</v>
      </c>
      <c r="H143" s="2">
        <v>109</v>
      </c>
      <c r="I143" s="301">
        <v>4.2425657792308892E-3</v>
      </c>
      <c r="J143" s="14">
        <v>57.5757561</v>
      </c>
      <c r="K143" s="301">
        <v>6.7857142857142856</v>
      </c>
      <c r="L143" s="2">
        <v>35</v>
      </c>
      <c r="M143" s="301">
        <v>6.6686990320859695E-4</v>
      </c>
      <c r="N143" s="14">
        <v>23.030303030302999</v>
      </c>
      <c r="O143" s="2">
        <v>118</v>
      </c>
      <c r="P143" s="301">
        <v>2.2250716548499021E-3</v>
      </c>
      <c r="Q143" s="14">
        <v>38.181818181818102</v>
      </c>
      <c r="R143" s="2">
        <v>199</v>
      </c>
      <c r="S143" s="301">
        <v>3.3776329412563435E-3</v>
      </c>
      <c r="T143" s="14">
        <v>73.333335899999994</v>
      </c>
      <c r="U143" s="301">
        <v>4.6857142857142859</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2103</v>
      </c>
      <c r="B144" s="2">
        <v>146</v>
      </c>
      <c r="C144" s="301">
        <v>6.8650961583674236E-3</v>
      </c>
      <c r="D144" s="14">
        <v>47.878787878787797</v>
      </c>
      <c r="E144" s="2">
        <v>57</v>
      </c>
      <c r="F144" s="301">
        <v>2.3623026233992291E-3</v>
      </c>
      <c r="G144" s="14">
        <v>31.515151515151501</v>
      </c>
      <c r="H144" s="2">
        <v>166</v>
      </c>
      <c r="I144" s="301">
        <v>6.4611552234158489E-3</v>
      </c>
      <c r="J144" s="14">
        <v>63.636364</v>
      </c>
      <c r="K144" s="301">
        <v>0.13698630136986301</v>
      </c>
      <c r="L144" s="2">
        <v>231</v>
      </c>
      <c r="M144" s="301">
        <v>4.4013413611767391E-3</v>
      </c>
      <c r="N144" s="14">
        <v>67.878787878787804</v>
      </c>
      <c r="O144" s="2">
        <v>291</v>
      </c>
      <c r="P144" s="301">
        <v>5.4872529793332332E-3</v>
      </c>
      <c r="Q144" s="14">
        <v>84.242424242424207</v>
      </c>
      <c r="R144" s="2">
        <v>415</v>
      </c>
      <c r="S144" s="301">
        <v>7.0438073900571992E-3</v>
      </c>
      <c r="T144" s="14">
        <v>101.21212</v>
      </c>
      <c r="U144" s="301">
        <v>0.79653679653679654</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2104</v>
      </c>
      <c r="B145" s="2">
        <v>34</v>
      </c>
      <c r="C145" s="301">
        <v>1.5987210231814548E-3</v>
      </c>
      <c r="D145" s="14">
        <v>24.2424242424242</v>
      </c>
      <c r="E145" s="2">
        <v>0</v>
      </c>
      <c r="F145" s="301">
        <v>0</v>
      </c>
      <c r="G145" s="14">
        <v>16.969696969696901</v>
      </c>
      <c r="H145" s="2">
        <v>0</v>
      </c>
      <c r="I145" s="301">
        <v>0</v>
      </c>
      <c r="J145" s="14">
        <v>18.787877999999999</v>
      </c>
      <c r="K145" s="301">
        <v>-1</v>
      </c>
      <c r="L145" s="2">
        <v>72</v>
      </c>
      <c r="M145" s="301">
        <v>1.3718466580291135E-3</v>
      </c>
      <c r="N145" s="14">
        <v>29.696969696969699</v>
      </c>
      <c r="O145" s="2">
        <v>41</v>
      </c>
      <c r="P145" s="301">
        <v>7.7311811736310149E-4</v>
      </c>
      <c r="Q145" s="14">
        <v>22.424242424242401</v>
      </c>
      <c r="R145" s="2">
        <v>119</v>
      </c>
      <c r="S145" s="301">
        <v>2.0197905528115826E-3</v>
      </c>
      <c r="T145" s="14">
        <v>70.909090000000006</v>
      </c>
      <c r="U145" s="301">
        <v>0.65277777777777779</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2077</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2442</v>
      </c>
      <c r="C1" s="373"/>
      <c r="D1" s="373"/>
      <c r="E1" s="373"/>
      <c r="F1" s="373"/>
      <c r="G1" s="373"/>
    </row>
    <row r="2" spans="1:25" ht="36" customHeight="1" x14ac:dyDescent="0.3">
      <c r="A2" t="s">
        <v>172</v>
      </c>
      <c r="B2" s="375" t="str">
        <f>Population!B3</f>
        <v>City of Madera</v>
      </c>
      <c r="C2" s="375"/>
      <c r="D2" s="375"/>
      <c r="E2" s="375"/>
      <c r="F2" s="375"/>
      <c r="G2" s="375"/>
      <c r="H2" s="375"/>
      <c r="I2" s="375"/>
      <c r="J2" s="375" t="str">
        <f>Population!B4</f>
        <v>Madera County</v>
      </c>
      <c r="K2" s="375"/>
      <c r="L2" s="375"/>
      <c r="M2" s="375"/>
      <c r="N2" s="375"/>
      <c r="O2" s="375"/>
      <c r="P2" s="375"/>
      <c r="Q2" s="375"/>
      <c r="R2" s="375" t="s">
        <v>173</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2443</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1674</v>
      </c>
      <c r="C5" s="304"/>
      <c r="D5" s="304" t="s">
        <v>1675</v>
      </c>
      <c r="E5" s="304"/>
      <c r="F5" s="304" t="s">
        <v>1676</v>
      </c>
      <c r="G5" s="304"/>
      <c r="H5" s="304" t="s">
        <v>1677</v>
      </c>
      <c r="I5" s="304"/>
      <c r="J5" s="304" t="s">
        <v>1674</v>
      </c>
      <c r="K5" s="304"/>
      <c r="L5" s="304" t="s">
        <v>1675</v>
      </c>
      <c r="M5" s="304"/>
      <c r="N5" s="304" t="s">
        <v>1676</v>
      </c>
      <c r="O5" s="304"/>
      <c r="P5" s="304" t="s">
        <v>1677</v>
      </c>
      <c r="Q5" s="304"/>
      <c r="R5" s="212" t="s">
        <v>1674</v>
      </c>
      <c r="S5" s="212"/>
      <c r="T5" s="212" t="s">
        <v>1675</v>
      </c>
      <c r="U5" s="212"/>
      <c r="V5" s="212" t="s">
        <v>1676</v>
      </c>
      <c r="W5" s="212"/>
      <c r="X5" s="212" t="s">
        <v>1677</v>
      </c>
      <c r="Y5" s="212"/>
    </row>
    <row r="6" spans="1:25" ht="14.4" x14ac:dyDescent="0.3">
      <c r="A6" t="s">
        <v>1673</v>
      </c>
      <c r="B6" s="2">
        <v>171</v>
      </c>
      <c r="C6" t="s">
        <v>172</v>
      </c>
      <c r="D6" s="2">
        <v>0</v>
      </c>
      <c r="E6" t="s">
        <v>172</v>
      </c>
      <c r="F6" s="2">
        <v>0</v>
      </c>
      <c r="G6" t="s">
        <v>172</v>
      </c>
      <c r="H6" s="2">
        <v>0</v>
      </c>
      <c r="I6" t="s">
        <v>172</v>
      </c>
      <c r="J6" s="2">
        <v>644</v>
      </c>
      <c r="K6" t="s">
        <v>172</v>
      </c>
      <c r="L6" s="2">
        <v>0</v>
      </c>
      <c r="M6" t="s">
        <v>172</v>
      </c>
      <c r="N6" s="2">
        <v>0</v>
      </c>
      <c r="O6" t="s">
        <v>172</v>
      </c>
      <c r="P6" s="2">
        <v>0</v>
      </c>
      <c r="Q6" t="s">
        <v>172</v>
      </c>
      <c r="R6" s="2">
        <v>56085</v>
      </c>
      <c r="S6" t="s">
        <v>172</v>
      </c>
      <c r="T6" s="2">
        <v>1210</v>
      </c>
      <c r="U6" t="s">
        <v>172</v>
      </c>
      <c r="V6" s="2">
        <v>470</v>
      </c>
      <c r="W6" t="s">
        <v>172</v>
      </c>
      <c r="X6" s="2">
        <v>1512</v>
      </c>
      <c r="Y6" t="s">
        <v>172</v>
      </c>
    </row>
    <row r="7" spans="1:25" ht="14.4" x14ac:dyDescent="0.3">
      <c r="A7" t="s">
        <v>2444</v>
      </c>
      <c r="B7" s="2">
        <v>171</v>
      </c>
      <c r="C7" t="s">
        <v>172</v>
      </c>
      <c r="D7" s="2">
        <v>0</v>
      </c>
      <c r="E7" t="s">
        <v>172</v>
      </c>
      <c r="F7" s="2">
        <v>0</v>
      </c>
      <c r="G7" t="s">
        <v>172</v>
      </c>
      <c r="H7" s="2">
        <v>0</v>
      </c>
      <c r="I7" t="s">
        <v>172</v>
      </c>
      <c r="J7" s="2">
        <v>644</v>
      </c>
      <c r="K7" t="s">
        <v>172</v>
      </c>
      <c r="L7" s="2">
        <v>0</v>
      </c>
      <c r="M7" t="s">
        <v>172</v>
      </c>
      <c r="N7" s="2">
        <v>0</v>
      </c>
      <c r="O7" t="s">
        <v>172</v>
      </c>
      <c r="P7" s="2">
        <v>0</v>
      </c>
      <c r="Q7" t="s">
        <v>172</v>
      </c>
      <c r="R7" s="2">
        <v>56085</v>
      </c>
      <c r="S7" t="s">
        <v>172</v>
      </c>
      <c r="T7" s="2">
        <v>2420</v>
      </c>
      <c r="U7" t="s">
        <v>172</v>
      </c>
      <c r="V7" s="2">
        <v>1623</v>
      </c>
      <c r="W7" t="s">
        <v>172</v>
      </c>
      <c r="X7" s="2">
        <v>46005</v>
      </c>
      <c r="Y7" t="s">
        <v>172</v>
      </c>
    </row>
    <row r="8" spans="1:25" ht="14.4" x14ac:dyDescent="0.3">
      <c r="A8" t="s">
        <v>2445</v>
      </c>
      <c r="B8" s="15">
        <v>29340000</v>
      </c>
      <c r="C8" t="s">
        <v>172</v>
      </c>
      <c r="D8" s="15">
        <v>0</v>
      </c>
      <c r="E8" t="s">
        <v>172</v>
      </c>
      <c r="F8" s="15">
        <v>0</v>
      </c>
      <c r="G8" t="s">
        <v>172</v>
      </c>
      <c r="H8" s="15">
        <v>0</v>
      </c>
      <c r="I8" t="s">
        <v>172</v>
      </c>
      <c r="J8" s="15">
        <v>164138949</v>
      </c>
      <c r="K8" t="s">
        <v>172</v>
      </c>
      <c r="L8" s="15">
        <v>0</v>
      </c>
      <c r="M8" t="s">
        <v>172</v>
      </c>
      <c r="N8" s="15">
        <v>0</v>
      </c>
      <c r="O8" t="s">
        <v>172</v>
      </c>
      <c r="P8" s="15">
        <v>0</v>
      </c>
      <c r="Q8" t="s">
        <v>172</v>
      </c>
      <c r="R8" s="15">
        <v>16660377</v>
      </c>
      <c r="S8" t="s">
        <v>172</v>
      </c>
      <c r="T8" s="15">
        <v>480472</v>
      </c>
      <c r="U8" t="s">
        <v>172</v>
      </c>
      <c r="V8" s="15">
        <v>291986</v>
      </c>
      <c r="W8" t="s">
        <v>172</v>
      </c>
      <c r="X8" s="15">
        <v>8150225</v>
      </c>
      <c r="Y8" t="s">
        <v>172</v>
      </c>
    </row>
    <row r="9" spans="1:25" ht="14.4" x14ac:dyDescent="0.3">
      <c r="A9" t="s">
        <v>2446</v>
      </c>
      <c r="B9" s="15">
        <v>171578.94736842104</v>
      </c>
      <c r="C9" t="s">
        <v>172</v>
      </c>
      <c r="D9" t="s">
        <v>172</v>
      </c>
      <c r="E9" t="s">
        <v>172</v>
      </c>
      <c r="F9" t="s">
        <v>172</v>
      </c>
      <c r="G9" t="s">
        <v>172</v>
      </c>
      <c r="H9" t="s">
        <v>172</v>
      </c>
      <c r="I9" t="s">
        <v>172</v>
      </c>
      <c r="J9" s="15">
        <v>254874.1444099379</v>
      </c>
      <c r="K9" t="s">
        <v>172</v>
      </c>
      <c r="L9" t="s">
        <v>172</v>
      </c>
      <c r="M9" t="s">
        <v>172</v>
      </c>
      <c r="N9" t="s">
        <v>172</v>
      </c>
      <c r="O9" t="s">
        <v>172</v>
      </c>
      <c r="P9" t="s">
        <v>172</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2242</v>
      </c>
    </row>
    <row r="16" spans="1:25" ht="36" customHeight="1" x14ac:dyDescent="0.3">
      <c r="A16" s="183" t="s">
        <v>2243</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2022-08-04T20:07:03Z</dcterms:modified>
  <cp:category/>
  <cp:contentStatus/>
</cp:coreProperties>
</file>